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Family\Documents\Thaine\FMC\"/>
    </mc:Choice>
  </mc:AlternateContent>
  <xr:revisionPtr revIDLastSave="0" documentId="13_ncr:1_{5213C92F-98C1-4FCA-9505-2BA0AA09CEC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udget expanded" sheetId="1" r:id="rId1"/>
    <sheet name="Budget collapse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8" i="1" l="1"/>
  <c r="N116" i="1"/>
  <c r="N117" i="1"/>
  <c r="N15" i="2"/>
  <c r="N108" i="1"/>
  <c r="E33" i="2"/>
  <c r="F31" i="2"/>
  <c r="F30" i="2"/>
  <c r="F29" i="2"/>
  <c r="F28" i="2"/>
  <c r="F27" i="2"/>
  <c r="F26" i="2"/>
  <c r="E25" i="2"/>
  <c r="E23" i="2"/>
  <c r="E21" i="2" s="1"/>
  <c r="E22" i="2"/>
  <c r="E35" i="2" l="1"/>
  <c r="N39" i="1" l="1"/>
  <c r="Q15" i="2"/>
  <c r="Q9" i="2"/>
  <c r="Q14" i="2"/>
  <c r="Q16" i="2"/>
  <c r="Q13" i="2"/>
  <c r="Q8" i="2"/>
  <c r="E88" i="1"/>
  <c r="E9" i="1"/>
  <c r="E133" i="1"/>
  <c r="F131" i="1"/>
  <c r="F130" i="1"/>
  <c r="F129" i="1"/>
  <c r="F128" i="1"/>
  <c r="F127" i="1"/>
  <c r="F126" i="1"/>
  <c r="E125" i="1"/>
  <c r="E123" i="1"/>
  <c r="E122" i="1"/>
  <c r="Q7" i="2" l="1"/>
  <c r="Q10" i="2" s="1"/>
  <c r="Q17" i="2" s="1"/>
  <c r="Q18" i="2" s="1"/>
  <c r="Q12" i="2"/>
  <c r="N8" i="2" l="1"/>
  <c r="N7" i="2"/>
  <c r="H16" i="2"/>
  <c r="K15" i="2"/>
  <c r="E15" i="2"/>
  <c r="K14" i="2"/>
  <c r="E14" i="2"/>
  <c r="K13" i="2"/>
  <c r="E13" i="2"/>
  <c r="E12" i="2"/>
  <c r="K10" i="2"/>
  <c r="H10" i="2"/>
  <c r="H17" i="2" s="1"/>
  <c r="H18" i="2" s="1"/>
  <c r="E8" i="2"/>
  <c r="E7" i="2"/>
  <c r="E10" i="2" s="1"/>
  <c r="E16" i="2" l="1"/>
  <c r="E17" i="2" s="1"/>
  <c r="E18" i="2" s="1"/>
  <c r="K16" i="2"/>
  <c r="K17" i="2" s="1"/>
  <c r="K18" i="2" s="1"/>
  <c r="N12" i="2"/>
  <c r="N16" i="2" s="1"/>
  <c r="N14" i="2"/>
  <c r="N13" i="2"/>
  <c r="E121" i="1"/>
  <c r="E135" i="1" s="1"/>
  <c r="K82" i="1"/>
  <c r="K106" i="1"/>
  <c r="K108" i="1" s="1"/>
  <c r="K92" i="1"/>
  <c r="H106" i="1"/>
  <c r="H108" i="1" s="1"/>
  <c r="H105" i="1"/>
  <c r="K84" i="1"/>
  <c r="H71" i="1"/>
  <c r="K105" i="1"/>
  <c r="H92" i="1"/>
  <c r="K81" i="1"/>
  <c r="H81" i="1"/>
  <c r="K75" i="1"/>
  <c r="H75" i="1"/>
  <c r="K71" i="1"/>
  <c r="K56" i="1"/>
  <c r="K59" i="1" s="1"/>
  <c r="H56" i="1"/>
  <c r="H59" i="1" s="1"/>
  <c r="K38" i="1"/>
  <c r="H38" i="1"/>
  <c r="H39" i="1" s="1"/>
  <c r="E84" i="1"/>
  <c r="E105" i="1"/>
  <c r="E106" i="1" s="1"/>
  <c r="E75" i="1"/>
  <c r="E71" i="1"/>
  <c r="E92" i="1"/>
  <c r="E56" i="1"/>
  <c r="E59" i="1" s="1"/>
  <c r="E78" i="1"/>
  <c r="E81" i="1" s="1"/>
  <c r="K93" i="1"/>
  <c r="E38" i="1"/>
  <c r="E39" i="1" s="1"/>
  <c r="K21" i="1"/>
  <c r="H21" i="1"/>
  <c r="K20" i="1"/>
  <c r="H20" i="1"/>
  <c r="E20" i="1"/>
  <c r="E10" i="1"/>
  <c r="N9" i="2" l="1"/>
  <c r="N10" i="2" s="1"/>
  <c r="K116" i="1"/>
  <c r="K117" i="1" s="1"/>
  <c r="K118" i="1" s="1"/>
  <c r="H82" i="1"/>
  <c r="E108" i="1"/>
  <c r="E82" i="1"/>
  <c r="E21" i="1"/>
  <c r="N17" i="2" l="1"/>
  <c r="N18" i="2" s="1"/>
  <c r="H116" i="1"/>
  <c r="H117" i="1" s="1"/>
  <c r="H118" i="1" s="1"/>
  <c r="E116" i="1"/>
  <c r="E117" i="1" s="1"/>
  <c r="E118" i="1" s="1"/>
  <c r="F113" i="1"/>
</calcChain>
</file>

<file path=xl/sharedStrings.xml><?xml version="1.0" encoding="utf-8"?>
<sst xmlns="http://schemas.openxmlformats.org/spreadsheetml/2006/main" count="160" uniqueCount="124">
  <si>
    <t>Jan - Dec 20 Actual</t>
  </si>
  <si>
    <t>Jan - Dec 20 Budget</t>
  </si>
  <si>
    <t>Jan - Dec 21 Budget</t>
  </si>
  <si>
    <t>Ordinary Income/Expense</t>
  </si>
  <si>
    <t>Income</t>
  </si>
  <si>
    <t>Local Budget Income</t>
  </si>
  <si>
    <t>Calvert Income</t>
  </si>
  <si>
    <t>Rent Income</t>
  </si>
  <si>
    <t>Total Income</t>
  </si>
  <si>
    <t>Expense</t>
  </si>
  <si>
    <t>Giving</t>
  </si>
  <si>
    <t>People</t>
  </si>
  <si>
    <t>Programs</t>
  </si>
  <si>
    <t>Structure</t>
  </si>
  <si>
    <t>Total Expense</t>
  </si>
  <si>
    <t>Net Ordinary Income</t>
  </si>
  <si>
    <t>Net Income</t>
  </si>
  <si>
    <t>Balance Sheet</t>
  </si>
  <si>
    <t>Checking account</t>
  </si>
  <si>
    <t>Savings account</t>
  </si>
  <si>
    <t>Calvert Fund</t>
  </si>
  <si>
    <t>General Account</t>
  </si>
  <si>
    <t>Deacons' Fund</t>
  </si>
  <si>
    <t>Organ Fund</t>
  </si>
  <si>
    <t>Tuition Support Fund</t>
  </si>
  <si>
    <t>Refugee Fund</t>
  </si>
  <si>
    <t>St. Martin Solar Project</t>
  </si>
  <si>
    <t xml:space="preserve">   Brethern MennoniteCouncil</t>
  </si>
  <si>
    <t xml:space="preserve">   ILSR</t>
  </si>
  <si>
    <t xml:space="preserve">   Community of St Martin</t>
  </si>
  <si>
    <t xml:space="preserve">   New Direction Empowerment Church</t>
  </si>
  <si>
    <t xml:space="preserve">   Yoga</t>
  </si>
  <si>
    <t xml:space="preserve">   SAA/SA/Step Study</t>
  </si>
  <si>
    <t xml:space="preserve">   Miscellaneous</t>
  </si>
  <si>
    <t xml:space="preserve">      Total Rent</t>
  </si>
  <si>
    <t xml:space="preserve">   Missions and Service</t>
  </si>
  <si>
    <t xml:space="preserve">   Conference support</t>
  </si>
  <si>
    <t xml:space="preserve">      Brethren Mennonite Council</t>
  </si>
  <si>
    <t xml:space="preserve">      Mennonite Church USA</t>
  </si>
  <si>
    <t xml:space="preserve">      Central Plains Conference</t>
  </si>
  <si>
    <t xml:space="preserve">      Mennonite Mission Network</t>
  </si>
  <si>
    <t xml:space="preserve">      Mennonite Central Committee</t>
  </si>
  <si>
    <t xml:space="preserve">      Associated Mennonite Biblical Seminary</t>
  </si>
  <si>
    <t xml:space="preserve">      Twin Cities MCC Sale</t>
  </si>
  <si>
    <t xml:space="preserve">       Missions</t>
  </si>
  <si>
    <t xml:space="preserve">       Partner and Community</t>
  </si>
  <si>
    <t xml:space="preserve">       Program</t>
  </si>
  <si>
    <t xml:space="preserve">            Total Mission and Service</t>
  </si>
  <si>
    <t>Pastor</t>
  </si>
  <si>
    <t>Tech Support</t>
  </si>
  <si>
    <t xml:space="preserve">      Education/books</t>
  </si>
  <si>
    <t xml:space="preserve">      Corinithian Plan</t>
  </si>
  <si>
    <t xml:space="preserve">      Medical Insurance</t>
  </si>
  <si>
    <t xml:space="preserve">      Medical Spending Account</t>
  </si>
  <si>
    <t xml:space="preserve">      Housing Allowance</t>
  </si>
  <si>
    <t xml:space="preserve">      Pension</t>
  </si>
  <si>
    <t xml:space="preserve">      Hosting</t>
  </si>
  <si>
    <t xml:space="preserve">      Salary Pastor</t>
  </si>
  <si>
    <t xml:space="preserve">      Ministry Staff</t>
  </si>
  <si>
    <t xml:space="preserve">      Travel/conference</t>
  </si>
  <si>
    <t xml:space="preserve">   Total People</t>
  </si>
  <si>
    <t xml:space="preserve">   Deacons</t>
  </si>
  <si>
    <t xml:space="preserve">      Miscellaneous</t>
  </si>
  <si>
    <t xml:space="preserve">   Education Commission</t>
  </si>
  <si>
    <t xml:space="preserve">      Conference Periodicals</t>
  </si>
  <si>
    <t xml:space="preserve">      Library</t>
  </si>
  <si>
    <t xml:space="preserve">      Nursery Coordinator</t>
  </si>
  <si>
    <t xml:space="preserve">      Sunday School Material</t>
  </si>
  <si>
    <t xml:space="preserve">      Youth</t>
  </si>
  <si>
    <t xml:space="preserve">   Fellowship</t>
  </si>
  <si>
    <t xml:space="preserve">      Retreat</t>
  </si>
  <si>
    <t xml:space="preserve">      Supplies</t>
  </si>
  <si>
    <t xml:space="preserve">   Worship Commission</t>
  </si>
  <si>
    <t xml:space="preserve">      Choir/Drama</t>
  </si>
  <si>
    <t xml:space="preserve">      Special speakers </t>
  </si>
  <si>
    <t xml:space="preserve">      New Tech hardware</t>
  </si>
  <si>
    <t xml:space="preserve">   Trustee Commission</t>
  </si>
  <si>
    <t xml:space="preserve">      Assessments</t>
  </si>
  <si>
    <t xml:space="preserve">      Insurance</t>
  </si>
  <si>
    <t xml:space="preserve">      Interest</t>
  </si>
  <si>
    <t xml:space="preserve">      Maintenance/supplies</t>
  </si>
  <si>
    <t xml:space="preserve">      Capital Improvement</t>
  </si>
  <si>
    <t xml:space="preserve">      Utilities</t>
  </si>
  <si>
    <t xml:space="preserve">        Electricity</t>
  </si>
  <si>
    <t xml:space="preserve">        Garbage/Water</t>
  </si>
  <si>
    <t xml:space="preserve">        Natural gas</t>
  </si>
  <si>
    <t xml:space="preserve">        Telephone</t>
  </si>
  <si>
    <t xml:space="preserve">      Payroll Service +UI (Administrative costs)</t>
  </si>
  <si>
    <t xml:space="preserve">      Advertisements</t>
  </si>
  <si>
    <t xml:space="preserve">      Materials</t>
  </si>
  <si>
    <t xml:space="preserve">   Office</t>
  </si>
  <si>
    <t xml:space="preserve">      Postage</t>
  </si>
  <si>
    <t xml:space="preserve"> Total Giving</t>
  </si>
  <si>
    <t xml:space="preserve">        Total Pastor</t>
  </si>
  <si>
    <t xml:space="preserve">        Total Education Commission</t>
  </si>
  <si>
    <t xml:space="preserve">        Total Fellowship</t>
  </si>
  <si>
    <t xml:space="preserve">        Total Worship Commission</t>
  </si>
  <si>
    <t xml:space="preserve">       Total Deacons</t>
  </si>
  <si>
    <t xml:space="preserve">        Total Office</t>
  </si>
  <si>
    <t xml:space="preserve">      Total Utilities</t>
  </si>
  <si>
    <t>Total Trustee Comission</t>
  </si>
  <si>
    <t>Total Structure</t>
  </si>
  <si>
    <t>Custodian</t>
  </si>
  <si>
    <t>Total Programs</t>
  </si>
  <si>
    <t>Total Expenses</t>
  </si>
  <si>
    <t xml:space="preserve">        Principle Pay Off</t>
  </si>
  <si>
    <t>.</t>
  </si>
  <si>
    <t xml:space="preserve"> </t>
  </si>
  <si>
    <t>Assets</t>
  </si>
  <si>
    <t>Church Building</t>
  </si>
  <si>
    <t>Creditors/Loan</t>
  </si>
  <si>
    <t>Capital</t>
  </si>
  <si>
    <t>Jan - Dec 22 Budget</t>
  </si>
  <si>
    <t xml:space="preserve">   Asemblea</t>
  </si>
  <si>
    <t>Adminstrative Assistant</t>
  </si>
  <si>
    <t>FICA</t>
  </si>
  <si>
    <t>Bookkeeper</t>
  </si>
  <si>
    <t xml:space="preserve">     Pastor Search</t>
  </si>
  <si>
    <t xml:space="preserve">      Migrant Fund</t>
  </si>
  <si>
    <t>Interest</t>
  </si>
  <si>
    <t>2021 Actual</t>
  </si>
  <si>
    <t>Deacon's Fund</t>
  </si>
  <si>
    <t xml:space="preserve">      Mennonite Disaster Service</t>
  </si>
  <si>
    <t xml:space="preserve">      Bank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</si>
</sst>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"/>
    <numFmt numFmtId="166" formatCode="_(* #,##0_);_(* \(#,##0\);_(* &quot;-&quot;??_);_(@_)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0" fillId="0" borderId="0" xfId="0" applyNumberFormat="1"/>
    <xf numFmtId="0" fontId="0" fillId="0" borderId="0" xfId="0" applyBorder="1"/>
    <xf numFmtId="165" fontId="6" fillId="0" borderId="0" xfId="0" applyNumberFormat="1" applyFont="1" applyFill="1" applyBorder="1" applyAlignment="1" applyProtection="1">
      <protection locked="0"/>
    </xf>
    <xf numFmtId="4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40" fontId="7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Border="1"/>
    <xf numFmtId="0" fontId="0" fillId="0" borderId="0" xfId="0" applyNumberFormat="1" applyBorder="1"/>
    <xf numFmtId="164" fontId="2" fillId="0" borderId="0" xfId="0" applyNumberFormat="1" applyFont="1" applyFill="1" applyBorder="1"/>
    <xf numFmtId="165" fontId="7" fillId="0" borderId="0" xfId="0" applyNumberFormat="1" applyFont="1" applyFill="1" applyBorder="1" applyAlignment="1" applyProtection="1">
      <protection locked="0"/>
    </xf>
    <xf numFmtId="40" fontId="6" fillId="0" borderId="0" xfId="1" applyNumberFormat="1" applyFont="1" applyFill="1" applyBorder="1" applyAlignment="1" applyProtection="1">
      <alignment horizontal="right"/>
      <protection locked="0"/>
    </xf>
    <xf numFmtId="164" fontId="2" fillId="0" borderId="3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39" fontId="4" fillId="0" borderId="0" xfId="0" applyNumberFormat="1" applyFont="1" applyFill="1" applyBorder="1"/>
    <xf numFmtId="40" fontId="4" fillId="0" borderId="0" xfId="0" applyNumberFormat="1" applyFont="1" applyFill="1" applyBorder="1"/>
    <xf numFmtId="40" fontId="5" fillId="0" borderId="0" xfId="0" applyNumberFormat="1" applyFont="1" applyFill="1" applyBorder="1"/>
    <xf numFmtId="39" fontId="5" fillId="0" borderId="0" xfId="0" applyNumberFormat="1" applyFont="1" applyFill="1" applyBorder="1"/>
    <xf numFmtId="164" fontId="3" fillId="0" borderId="2" xfId="0" applyNumberFormat="1" applyFont="1" applyFill="1" applyBorder="1"/>
    <xf numFmtId="40" fontId="6" fillId="0" borderId="4" xfId="1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/>
    <xf numFmtId="4" fontId="4" fillId="0" borderId="2" xfId="0" applyNumberFormat="1" applyFont="1" applyFill="1" applyBorder="1"/>
    <xf numFmtId="0" fontId="4" fillId="0" borderId="0" xfId="0" applyNumberFormat="1" applyFont="1" applyFill="1" applyBorder="1"/>
    <xf numFmtId="164" fontId="3" fillId="0" borderId="1" xfId="0" applyNumberFormat="1" applyFont="1" applyFill="1" applyBorder="1"/>
    <xf numFmtId="4" fontId="4" fillId="0" borderId="0" xfId="0" applyNumberFormat="1" applyFont="1" applyFill="1" applyBorder="1"/>
    <xf numFmtId="39" fontId="3" fillId="0" borderId="0" xfId="0" applyNumberFormat="1" applyFont="1" applyFill="1" applyBorder="1"/>
    <xf numFmtId="0" fontId="2" fillId="0" borderId="0" xfId="0" applyFont="1" applyFill="1" applyBorder="1"/>
    <xf numFmtId="39" fontId="2" fillId="0" borderId="0" xfId="0" applyNumberFormat="1" applyFont="1" applyFill="1" applyBorder="1"/>
    <xf numFmtId="8" fontId="2" fillId="0" borderId="0" xfId="0" applyNumberFormat="1" applyFont="1" applyFill="1" applyBorder="1"/>
    <xf numFmtId="0" fontId="2" fillId="0" borderId="0" xfId="0" applyNumberFormat="1" applyFont="1" applyFill="1"/>
    <xf numFmtId="0" fontId="4" fillId="0" borderId="0" xfId="0" applyFont="1" applyFill="1"/>
    <xf numFmtId="0" fontId="0" fillId="0" borderId="0" xfId="0" applyNumberFormat="1" applyFill="1"/>
    <xf numFmtId="0" fontId="0" fillId="0" borderId="0" xfId="0" applyFill="1"/>
    <xf numFmtId="4" fontId="0" fillId="0" borderId="0" xfId="0" applyNumberFormat="1"/>
    <xf numFmtId="6" fontId="0" fillId="0" borderId="0" xfId="0" applyNumberFormat="1"/>
    <xf numFmtId="8" fontId="2" fillId="0" borderId="0" xfId="0" applyNumberFormat="1" applyFont="1"/>
    <xf numFmtId="4" fontId="0" fillId="0" borderId="0" xfId="0" applyNumberFormat="1" applyFill="1"/>
    <xf numFmtId="49" fontId="3" fillId="0" borderId="0" xfId="0" applyNumberFormat="1" applyFont="1" applyFill="1" applyBorder="1"/>
    <xf numFmtId="0" fontId="7" fillId="0" borderId="0" xfId="0" applyNumberFormat="1" applyFont="1" applyFill="1" applyBorder="1" applyAlignment="1" applyProtection="1">
      <protection locked="0"/>
    </xf>
    <xf numFmtId="166" fontId="0" fillId="0" borderId="0" xfId="2" applyNumberFormat="1" applyFont="1"/>
    <xf numFmtId="166" fontId="2" fillId="0" borderId="0" xfId="2" applyNumberFormat="1" applyFont="1" applyFill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6" fontId="4" fillId="0" borderId="0" xfId="0" applyNumberFormat="1" applyFont="1" applyFill="1" applyBorder="1"/>
    <xf numFmtId="166" fontId="2" fillId="0" borderId="0" xfId="0" applyNumberFormat="1" applyFont="1" applyFill="1" applyBorder="1"/>
    <xf numFmtId="166" fontId="7" fillId="0" borderId="0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/>
    <xf numFmtId="166" fontId="7" fillId="0" borderId="0" xfId="1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Fill="1" applyBorder="1"/>
    <xf numFmtId="166" fontId="7" fillId="0" borderId="0" xfId="0" applyNumberFormat="1" applyFont="1" applyFill="1" applyBorder="1"/>
    <xf numFmtId="166" fontId="6" fillId="0" borderId="0" xfId="0" applyNumberFormat="1" applyFont="1" applyFill="1" applyBorder="1"/>
    <xf numFmtId="166" fontId="8" fillId="0" borderId="0" xfId="2" applyNumberFormat="1" applyFont="1"/>
    <xf numFmtId="8" fontId="4" fillId="0" borderId="0" xfId="0" applyNumberFormat="1" applyFont="1" applyFill="1" applyBorder="1"/>
    <xf numFmtId="166" fontId="0" fillId="0" borderId="0" xfId="2" applyNumberFormat="1" applyFont="1" applyFill="1"/>
    <xf numFmtId="166" fontId="0" fillId="0" borderId="0" xfId="2" applyNumberFormat="1" applyFont="1" applyFill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3" fillId="0" borderId="0" xfId="0" applyNumberFormat="1" applyFont="1"/>
    <xf numFmtId="39" fontId="0" fillId="0" borderId="0" xfId="0" applyNumberFormat="1"/>
    <xf numFmtId="40" fontId="4" fillId="0" borderId="0" xfId="0" applyNumberFormat="1" applyFont="1"/>
    <xf numFmtId="39" fontId="4" fillId="0" borderId="0" xfId="0" applyNumberFormat="1" applyFont="1"/>
    <xf numFmtId="164" fontId="3" fillId="0" borderId="1" xfId="0" applyNumberFormat="1" applyFont="1" applyBorder="1"/>
    <xf numFmtId="40" fontId="4" fillId="0" borderId="1" xfId="0" applyNumberFormat="1" applyFont="1" applyBorder="1"/>
    <xf numFmtId="39" fontId="4" fillId="0" borderId="1" xfId="0" applyNumberFormat="1" applyFont="1" applyBorder="1"/>
    <xf numFmtId="39" fontId="3" fillId="0" borderId="0" xfId="0" applyNumberFormat="1" applyFont="1"/>
    <xf numFmtId="164" fontId="3" fillId="0" borderId="2" xfId="0" applyNumberFormat="1" applyFont="1" applyBorder="1"/>
    <xf numFmtId="39" fontId="3" fillId="0" borderId="2" xfId="0" applyNumberFormat="1" applyFont="1" applyBorder="1"/>
    <xf numFmtId="164" fontId="2" fillId="0" borderId="3" xfId="0" applyNumberFormat="1" applyFont="1" applyBorder="1"/>
    <xf numFmtId="39" fontId="2" fillId="0" borderId="3" xfId="0" applyNumberFormat="1" applyFont="1" applyBorder="1"/>
    <xf numFmtId="0" fontId="9" fillId="0" borderId="0" xfId="0" applyFont="1" applyProtection="1">
      <protection locked="0"/>
    </xf>
    <xf numFmtId="167" fontId="7" fillId="0" borderId="0" xfId="0" applyNumberFormat="1" applyFont="1" applyProtection="1">
      <protection locked="0"/>
    </xf>
    <xf numFmtId="7" fontId="7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7" fontId="7" fillId="0" borderId="0" xfId="0" applyNumberFormat="1" applyFont="1"/>
    <xf numFmtId="7" fontId="7" fillId="0" borderId="0" xfId="0" applyNumberFormat="1" applyFont="1" applyAlignment="1">
      <alignment horizontal="right" wrapText="1"/>
    </xf>
    <xf numFmtId="0" fontId="6" fillId="0" borderId="0" xfId="0" applyFont="1" applyProtection="1">
      <protection locked="0"/>
    </xf>
    <xf numFmtId="7" fontId="7" fillId="0" borderId="0" xfId="1" applyNumberFormat="1" applyFont="1" applyProtection="1">
      <protection locked="0"/>
    </xf>
    <xf numFmtId="0" fontId="0" fillId="0" borderId="0" xfId="0" applyFont="1"/>
    <xf numFmtId="39" fontId="9" fillId="0" borderId="0" xfId="0" applyNumberFormat="1" applyFont="1" applyProtection="1"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%20202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Reconsile "/>
      <sheetName val="PnL"/>
      <sheetName val="PnL by Month"/>
      <sheetName val="PnL Year"/>
      <sheetName val="open checks"/>
      <sheetName val="Balance Sheet"/>
      <sheetName val="Balance Sheet by Month"/>
      <sheetName val="Dec Payroll "/>
      <sheetName val="Nov Payroll"/>
      <sheetName val="Migrant Fund"/>
      <sheetName val="Giving and Rent"/>
      <sheetName val="J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>
            <v>56832.09</v>
          </cell>
        </row>
        <row r="6">
          <cell r="F6">
            <v>15576.46</v>
          </cell>
        </row>
        <row r="10">
          <cell r="F10">
            <v>63585.94</v>
          </cell>
        </row>
        <row r="11">
          <cell r="F11">
            <v>6909.77</v>
          </cell>
        </row>
        <row r="12">
          <cell r="F12">
            <v>5538.92</v>
          </cell>
        </row>
        <row r="13">
          <cell r="F13">
            <v>11787.73</v>
          </cell>
        </row>
        <row r="14">
          <cell r="F14">
            <v>15541.42</v>
          </cell>
        </row>
        <row r="15">
          <cell r="F15">
            <v>900</v>
          </cell>
        </row>
        <row r="16">
          <cell r="F16">
            <v>104263.78</v>
          </cell>
        </row>
        <row r="32">
          <cell r="F32">
            <v>92549.61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9"/>
  <sheetViews>
    <sheetView topLeftCell="A15" zoomScaleNormal="100" workbookViewId="0">
      <selection activeCell="N108" sqref="N108"/>
    </sheetView>
  </sheetViews>
  <sheetFormatPr defaultRowHeight="15" x14ac:dyDescent="0.25"/>
  <cols>
    <col min="1" max="3" width="3" style="5" customWidth="1"/>
    <col min="4" max="4" width="32.140625" style="5" customWidth="1"/>
    <col min="5" max="5" width="15.7109375" style="6" customWidth="1"/>
    <col min="6" max="6" width="11.7109375" customWidth="1"/>
    <col min="7" max="7" width="1.5703125" customWidth="1"/>
    <col min="8" max="8" width="15.5703125" customWidth="1"/>
    <col min="9" max="10" width="2.28515625" customWidth="1"/>
    <col min="11" max="11" width="15.5703125" customWidth="1"/>
    <col min="12" max="13" width="2.28515625" customWidth="1"/>
    <col min="14" max="14" width="14.42578125" style="62" customWidth="1"/>
    <col min="15" max="15" width="2.28515625" style="48" customWidth="1"/>
    <col min="16" max="16" width="2.28515625" customWidth="1"/>
    <col min="17" max="17" width="11.5703125" bestFit="1" customWidth="1"/>
    <col min="20" max="20" width="23.42578125" customWidth="1"/>
  </cols>
  <sheetData>
    <row r="1" spans="1:17" x14ac:dyDescent="0.25">
      <c r="B1" s="12"/>
      <c r="C1" s="12"/>
      <c r="D1" s="12"/>
      <c r="E1" s="13"/>
      <c r="F1" s="7"/>
      <c r="G1" s="7"/>
      <c r="H1" s="7"/>
      <c r="I1" s="7"/>
      <c r="J1" s="7"/>
      <c r="K1" s="7"/>
    </row>
    <row r="2" spans="1:17" x14ac:dyDescent="0.25">
      <c r="B2" s="12"/>
      <c r="C2" s="12"/>
      <c r="D2" s="12"/>
      <c r="E2" s="13"/>
      <c r="F2" s="7"/>
      <c r="G2" s="7"/>
      <c r="H2" s="7"/>
      <c r="I2" s="7"/>
      <c r="J2" s="7"/>
      <c r="K2" s="7"/>
    </row>
    <row r="3" spans="1:17" s="2" customFormat="1" x14ac:dyDescent="0.25">
      <c r="A3" s="1"/>
      <c r="B3" s="18"/>
      <c r="C3" s="18"/>
      <c r="D3" s="18"/>
      <c r="E3" s="18" t="s">
        <v>0</v>
      </c>
      <c r="F3" s="19"/>
      <c r="G3" s="19"/>
      <c r="H3" s="18" t="s">
        <v>1</v>
      </c>
      <c r="I3" s="19"/>
      <c r="J3" s="19"/>
      <c r="K3" s="18" t="s">
        <v>2</v>
      </c>
      <c r="N3" s="49" t="s">
        <v>112</v>
      </c>
      <c r="O3" s="49"/>
      <c r="Q3" s="49" t="s">
        <v>120</v>
      </c>
    </row>
    <row r="4" spans="1:17" s="2" customFormat="1" x14ac:dyDescent="0.25">
      <c r="A4" s="1"/>
      <c r="B4" s="18"/>
      <c r="C4" s="18"/>
      <c r="D4" s="18"/>
      <c r="E4" s="18"/>
      <c r="F4" s="19"/>
      <c r="G4" s="19"/>
      <c r="H4" s="18"/>
      <c r="I4" s="19"/>
      <c r="J4" s="19"/>
      <c r="K4" s="19"/>
      <c r="N4" s="63"/>
      <c r="O4" s="50"/>
      <c r="Q4" s="63"/>
    </row>
    <row r="5" spans="1:17" x14ac:dyDescent="0.25">
      <c r="A5" s="3"/>
      <c r="B5" s="20" t="s">
        <v>3</v>
      </c>
      <c r="C5" s="20"/>
      <c r="D5" s="20"/>
      <c r="E5" s="21"/>
      <c r="F5" s="22"/>
      <c r="G5" s="22"/>
      <c r="H5" s="22"/>
      <c r="I5" s="22"/>
      <c r="J5" s="22"/>
      <c r="K5" s="23"/>
      <c r="Q5" s="62"/>
    </row>
    <row r="6" spans="1:17" x14ac:dyDescent="0.25">
      <c r="A6" s="3"/>
      <c r="B6" s="20"/>
      <c r="C6" s="20" t="s">
        <v>4</v>
      </c>
      <c r="D6" s="20"/>
      <c r="E6" s="21"/>
      <c r="F6" s="22"/>
      <c r="G6" s="22"/>
      <c r="H6" s="24"/>
      <c r="I6" s="22"/>
      <c r="J6" s="22"/>
      <c r="K6" s="23"/>
      <c r="Q6" s="62"/>
    </row>
    <row r="7" spans="1:17" x14ac:dyDescent="0.25">
      <c r="A7" s="3"/>
      <c r="B7" s="20"/>
      <c r="C7" s="20"/>
      <c r="D7" s="20" t="s">
        <v>119</v>
      </c>
      <c r="E7" s="21"/>
      <c r="F7" s="22"/>
      <c r="G7" s="22"/>
      <c r="H7" s="24"/>
      <c r="I7" s="22"/>
      <c r="J7" s="22"/>
      <c r="K7" s="23"/>
      <c r="Q7" s="26"/>
    </row>
    <row r="8" spans="1:17" x14ac:dyDescent="0.25">
      <c r="A8" s="3"/>
      <c r="B8" s="20"/>
      <c r="C8" s="20"/>
      <c r="D8" s="20" t="s">
        <v>121</v>
      </c>
      <c r="E8" s="21"/>
      <c r="F8" s="22"/>
      <c r="G8" s="22"/>
      <c r="H8" s="24"/>
      <c r="I8" s="22"/>
      <c r="J8" s="22"/>
      <c r="K8" s="23"/>
      <c r="Q8" s="26"/>
    </row>
    <row r="9" spans="1:17" x14ac:dyDescent="0.25">
      <c r="A9" s="3"/>
      <c r="B9" s="20"/>
      <c r="C9" s="20"/>
      <c r="D9" s="20" t="s">
        <v>5</v>
      </c>
      <c r="E9" s="14">
        <f>156733.18+1.57</f>
        <v>156734.75</v>
      </c>
      <c r="F9" s="22"/>
      <c r="G9" s="22"/>
      <c r="H9" s="25">
        <v>180050</v>
      </c>
      <c r="I9" s="22"/>
      <c r="J9" s="22"/>
      <c r="K9" s="26">
        <v>159200</v>
      </c>
      <c r="N9" s="26">
        <v>171100</v>
      </c>
      <c r="O9" s="57"/>
      <c r="Q9" s="26">
        <v>190297.57</v>
      </c>
    </row>
    <row r="10" spans="1:17" x14ac:dyDescent="0.25">
      <c r="A10" s="3"/>
      <c r="B10" s="20"/>
      <c r="C10" s="20"/>
      <c r="D10" s="20" t="s">
        <v>6</v>
      </c>
      <c r="E10" s="14">
        <f>12424.6</f>
        <v>12424.6</v>
      </c>
      <c r="F10" s="22"/>
      <c r="G10" s="22"/>
      <c r="H10" s="25">
        <v>2000</v>
      </c>
      <c r="I10" s="22"/>
      <c r="J10" s="22"/>
      <c r="K10" s="26">
        <v>2000</v>
      </c>
      <c r="N10" s="26">
        <v>2000</v>
      </c>
      <c r="O10" s="57"/>
      <c r="Q10" s="26">
        <v>17073.7</v>
      </c>
    </row>
    <row r="11" spans="1:17" x14ac:dyDescent="0.25">
      <c r="A11" s="3"/>
      <c r="B11" s="20"/>
      <c r="C11" s="20"/>
      <c r="D11" s="46" t="s">
        <v>7</v>
      </c>
      <c r="E11" s="21"/>
      <c r="F11" s="22"/>
      <c r="G11" s="22"/>
      <c r="H11" s="24"/>
      <c r="I11" s="22"/>
      <c r="J11" s="22"/>
      <c r="K11" s="23"/>
      <c r="N11" s="23"/>
      <c r="O11" s="51"/>
      <c r="Q11" s="23"/>
    </row>
    <row r="12" spans="1:17" x14ac:dyDescent="0.25">
      <c r="A12" s="3"/>
      <c r="B12" s="20"/>
      <c r="C12" s="20"/>
      <c r="D12" s="46" t="s">
        <v>27</v>
      </c>
      <c r="E12" s="21">
        <v>990</v>
      </c>
      <c r="F12" s="22"/>
      <c r="G12" s="22"/>
      <c r="H12" s="24">
        <v>1300</v>
      </c>
      <c r="I12" s="22"/>
      <c r="J12" s="22"/>
      <c r="K12" s="23">
        <v>1300</v>
      </c>
      <c r="N12" s="23">
        <v>3120</v>
      </c>
      <c r="O12" s="51"/>
      <c r="Q12" s="23">
        <v>1320</v>
      </c>
    </row>
    <row r="13" spans="1:17" x14ac:dyDescent="0.25">
      <c r="A13" s="3"/>
      <c r="B13" s="20"/>
      <c r="C13" s="20"/>
      <c r="D13" s="46" t="s">
        <v>29</v>
      </c>
      <c r="E13" s="21">
        <v>6525</v>
      </c>
      <c r="F13" s="22"/>
      <c r="G13" s="22"/>
      <c r="H13" s="24">
        <v>5200</v>
      </c>
      <c r="I13" s="22"/>
      <c r="J13" s="22"/>
      <c r="K13" s="23">
        <v>5200</v>
      </c>
      <c r="N13" s="23">
        <v>5200</v>
      </c>
      <c r="O13" s="51"/>
      <c r="Q13" s="23">
        <v>5260</v>
      </c>
    </row>
    <row r="14" spans="1:17" x14ac:dyDescent="0.25">
      <c r="A14" s="3"/>
      <c r="B14" s="20"/>
      <c r="C14" s="20"/>
      <c r="D14" s="46" t="s">
        <v>28</v>
      </c>
      <c r="E14" s="21">
        <v>30300</v>
      </c>
      <c r="F14" s="22"/>
      <c r="G14" s="22"/>
      <c r="H14" s="24">
        <v>30300</v>
      </c>
      <c r="I14" s="22"/>
      <c r="J14" s="22"/>
      <c r="K14" s="23">
        <v>30300</v>
      </c>
      <c r="N14" s="23">
        <v>30300</v>
      </c>
      <c r="O14" s="51"/>
      <c r="Q14" s="23">
        <v>30300</v>
      </c>
    </row>
    <row r="15" spans="1:17" x14ac:dyDescent="0.25">
      <c r="A15" s="3"/>
      <c r="B15" s="20"/>
      <c r="C15" s="20"/>
      <c r="D15" s="46" t="s">
        <v>30</v>
      </c>
      <c r="E15" s="21">
        <v>3817</v>
      </c>
      <c r="F15" s="22"/>
      <c r="G15" s="22"/>
      <c r="H15" s="24">
        <v>4000</v>
      </c>
      <c r="I15" s="22"/>
      <c r="J15" s="22"/>
      <c r="K15" s="23">
        <v>4000</v>
      </c>
      <c r="N15" s="23">
        <v>4000</v>
      </c>
      <c r="O15" s="51"/>
      <c r="Q15" s="23">
        <v>3190</v>
      </c>
    </row>
    <row r="16" spans="1:17" x14ac:dyDescent="0.25">
      <c r="A16" s="3"/>
      <c r="B16" s="20"/>
      <c r="C16" s="20"/>
      <c r="D16" s="46" t="s">
        <v>31</v>
      </c>
      <c r="E16" s="21">
        <v>180</v>
      </c>
      <c r="F16" s="22"/>
      <c r="G16" s="22"/>
      <c r="H16" s="24">
        <v>600</v>
      </c>
      <c r="I16" s="22"/>
      <c r="J16" s="22"/>
      <c r="K16" s="23">
        <v>0</v>
      </c>
      <c r="N16" s="23">
        <v>0</v>
      </c>
      <c r="O16" s="51"/>
      <c r="Q16" s="23">
        <v>150</v>
      </c>
    </row>
    <row r="17" spans="1:18" x14ac:dyDescent="0.25">
      <c r="A17" s="3"/>
      <c r="B17" s="20"/>
      <c r="C17" s="20"/>
      <c r="D17" s="46" t="s">
        <v>32</v>
      </c>
      <c r="E17" s="21">
        <v>300</v>
      </c>
      <c r="F17" s="22"/>
      <c r="G17" s="22"/>
      <c r="H17" s="24">
        <v>1000</v>
      </c>
      <c r="I17" s="22"/>
      <c r="J17" s="22"/>
      <c r="K17" s="23">
        <v>0</v>
      </c>
      <c r="N17" s="23">
        <v>0</v>
      </c>
      <c r="O17" s="51"/>
      <c r="Q17" s="23">
        <v>215</v>
      </c>
    </row>
    <row r="18" spans="1:18" x14ac:dyDescent="0.25">
      <c r="A18" s="3"/>
      <c r="B18" s="20"/>
      <c r="C18" s="20"/>
      <c r="D18" s="46" t="s">
        <v>113</v>
      </c>
      <c r="E18" s="21"/>
      <c r="F18" s="22"/>
      <c r="G18" s="22"/>
      <c r="H18" s="24"/>
      <c r="I18" s="22"/>
      <c r="J18" s="22"/>
      <c r="K18" s="23"/>
      <c r="N18" s="23">
        <v>1200</v>
      </c>
      <c r="O18" s="51"/>
      <c r="Q18" s="23">
        <v>0</v>
      </c>
    </row>
    <row r="19" spans="1:18" x14ac:dyDescent="0.25">
      <c r="A19" s="3"/>
      <c r="B19" s="20"/>
      <c r="C19" s="20"/>
      <c r="D19" s="46" t="s">
        <v>33</v>
      </c>
      <c r="E19" s="21">
        <v>335</v>
      </c>
      <c r="F19" s="22"/>
      <c r="G19" s="22"/>
      <c r="H19" s="24">
        <v>600</v>
      </c>
      <c r="I19" s="22"/>
      <c r="J19" s="22"/>
      <c r="K19" s="23">
        <v>0</v>
      </c>
      <c r="N19" s="23">
        <v>0</v>
      </c>
      <c r="O19" s="51"/>
      <c r="Q19" s="23">
        <v>1995</v>
      </c>
    </row>
    <row r="20" spans="1:18" ht="15.75" thickBot="1" x14ac:dyDescent="0.3">
      <c r="A20" s="3"/>
      <c r="B20" s="20"/>
      <c r="C20" s="20"/>
      <c r="D20" s="20" t="s">
        <v>34</v>
      </c>
      <c r="E20" s="14">
        <f>SUM(E12:E19)</f>
        <v>42447</v>
      </c>
      <c r="F20" s="22"/>
      <c r="G20" s="22"/>
      <c r="H20" s="14">
        <f>SUM(H12:H19)</f>
        <v>43000</v>
      </c>
      <c r="I20" s="22"/>
      <c r="J20" s="22"/>
      <c r="K20" s="14">
        <f>SUM(K12:K19)</f>
        <v>40800</v>
      </c>
      <c r="N20" s="14">
        <v>43820</v>
      </c>
      <c r="O20" s="52"/>
      <c r="Q20" s="14">
        <v>42430</v>
      </c>
    </row>
    <row r="21" spans="1:18" ht="15.75" thickBot="1" x14ac:dyDescent="0.3">
      <c r="A21" s="3"/>
      <c r="B21" s="20"/>
      <c r="C21" s="20" t="s">
        <v>8</v>
      </c>
      <c r="D21" s="20"/>
      <c r="E21" s="17">
        <f>ROUND(SUM(E6:E19),5)</f>
        <v>211606.35</v>
      </c>
      <c r="F21" s="22"/>
      <c r="G21" s="22"/>
      <c r="H21" s="17">
        <f>ROUND(SUM(H6:H19),5)</f>
        <v>225050</v>
      </c>
      <c r="I21" s="22"/>
      <c r="J21" s="22"/>
      <c r="K21" s="17">
        <f>ROUND(SUM(K6:K19),5)</f>
        <v>202000</v>
      </c>
      <c r="N21" s="17">
        <v>216920</v>
      </c>
      <c r="O21" s="52"/>
      <c r="Q21" s="17">
        <v>249801.27000000002</v>
      </c>
    </row>
    <row r="22" spans="1:18" ht="15.75" thickTop="1" x14ac:dyDescent="0.25">
      <c r="A22" s="3"/>
      <c r="B22" s="20"/>
      <c r="C22" s="20" t="s">
        <v>9</v>
      </c>
      <c r="D22" s="20"/>
      <c r="E22" s="21"/>
      <c r="F22" s="22"/>
      <c r="G22" s="22"/>
      <c r="H22" s="24"/>
      <c r="I22" s="22"/>
      <c r="J22" s="22"/>
      <c r="K22" s="23"/>
      <c r="N22" s="23"/>
      <c r="Q22" s="23"/>
    </row>
    <row r="23" spans="1:18" x14ac:dyDescent="0.25">
      <c r="A23" s="3"/>
      <c r="B23" s="20"/>
      <c r="C23" s="20"/>
      <c r="D23" s="20" t="s">
        <v>10</v>
      </c>
      <c r="E23" s="21"/>
      <c r="F23" s="22"/>
      <c r="G23" s="22"/>
      <c r="H23" s="24"/>
      <c r="I23" s="22"/>
      <c r="J23" s="22"/>
      <c r="K23" s="23"/>
      <c r="N23" s="8">
        <v>22000</v>
      </c>
      <c r="O23" s="51"/>
      <c r="Q23" s="23"/>
    </row>
    <row r="24" spans="1:18" x14ac:dyDescent="0.25">
      <c r="A24" s="3"/>
      <c r="B24" s="20"/>
      <c r="C24" s="20"/>
      <c r="D24" s="10" t="s">
        <v>36</v>
      </c>
      <c r="E24" s="11"/>
      <c r="F24" s="22"/>
      <c r="G24" s="22"/>
      <c r="H24" s="15"/>
      <c r="I24" s="22"/>
      <c r="J24" s="22"/>
      <c r="K24" s="15"/>
      <c r="N24" s="15"/>
      <c r="O24" s="53"/>
      <c r="Q24" s="15"/>
    </row>
    <row r="25" spans="1:18" x14ac:dyDescent="0.25">
      <c r="A25" s="3"/>
      <c r="B25" s="20"/>
      <c r="C25" s="20"/>
      <c r="D25" s="10" t="s">
        <v>37</v>
      </c>
      <c r="E25" s="9">
        <v>500</v>
      </c>
      <c r="F25" s="22"/>
      <c r="G25" s="22"/>
      <c r="H25" s="8">
        <v>500</v>
      </c>
      <c r="I25" s="22"/>
      <c r="J25" s="22"/>
      <c r="K25" s="8">
        <v>0</v>
      </c>
      <c r="N25" s="8">
        <v>0</v>
      </c>
      <c r="O25" s="54"/>
      <c r="Q25" s="8">
        <v>500</v>
      </c>
      <c r="R25" s="54"/>
    </row>
    <row r="26" spans="1:18" x14ac:dyDescent="0.25">
      <c r="A26" s="3"/>
      <c r="B26" s="20"/>
      <c r="C26" s="20"/>
      <c r="D26" s="10" t="s">
        <v>38</v>
      </c>
      <c r="E26" s="9">
        <v>3000</v>
      </c>
      <c r="F26" s="22"/>
      <c r="G26" s="22"/>
      <c r="H26" s="8">
        <v>3000</v>
      </c>
      <c r="I26" s="22"/>
      <c r="J26" s="22"/>
      <c r="K26" s="8">
        <v>0</v>
      </c>
      <c r="N26" s="8">
        <v>0</v>
      </c>
      <c r="O26" s="54"/>
      <c r="Q26" s="8">
        <v>3000</v>
      </c>
      <c r="R26" s="54"/>
    </row>
    <row r="27" spans="1:18" x14ac:dyDescent="0.25">
      <c r="A27" s="3"/>
      <c r="B27" s="20"/>
      <c r="C27" s="20"/>
      <c r="D27" s="10" t="s">
        <v>39</v>
      </c>
      <c r="E27" s="9">
        <v>8500</v>
      </c>
      <c r="F27" s="22"/>
      <c r="G27" s="22"/>
      <c r="H27" s="8">
        <v>8500</v>
      </c>
      <c r="I27" s="22"/>
      <c r="J27" s="22"/>
      <c r="K27" s="8">
        <v>0</v>
      </c>
      <c r="N27" s="8">
        <v>0</v>
      </c>
      <c r="O27" s="54"/>
      <c r="Q27" s="8">
        <v>8500</v>
      </c>
      <c r="R27" s="54"/>
    </row>
    <row r="28" spans="1:18" x14ac:dyDescent="0.25">
      <c r="A28" s="3"/>
      <c r="B28" s="20"/>
      <c r="C28" s="20"/>
      <c r="D28" s="10" t="s">
        <v>40</v>
      </c>
      <c r="E28" s="9">
        <v>1000</v>
      </c>
      <c r="F28" s="22"/>
      <c r="G28" s="22"/>
      <c r="H28" s="8">
        <v>1000</v>
      </c>
      <c r="I28" s="22"/>
      <c r="J28" s="22"/>
      <c r="K28" s="8">
        <v>0</v>
      </c>
      <c r="N28" s="8">
        <v>0</v>
      </c>
      <c r="O28" s="54"/>
      <c r="Q28" s="8">
        <v>1000</v>
      </c>
      <c r="R28" s="54"/>
    </row>
    <row r="29" spans="1:18" x14ac:dyDescent="0.25">
      <c r="A29" s="3"/>
      <c r="B29" s="20"/>
      <c r="C29" s="20"/>
      <c r="D29" s="10" t="s">
        <v>41</v>
      </c>
      <c r="E29" s="9">
        <v>1500</v>
      </c>
      <c r="F29" s="22"/>
      <c r="G29" s="22"/>
      <c r="H29" s="8">
        <v>1500</v>
      </c>
      <c r="I29" s="22"/>
      <c r="J29" s="22"/>
      <c r="K29" s="8">
        <v>0</v>
      </c>
      <c r="N29" s="8">
        <v>0</v>
      </c>
      <c r="O29" s="54"/>
      <c r="Q29" s="8">
        <v>4300</v>
      </c>
      <c r="R29" s="54"/>
    </row>
    <row r="30" spans="1:18" x14ac:dyDescent="0.25">
      <c r="A30" s="3"/>
      <c r="B30" s="20"/>
      <c r="C30" s="20"/>
      <c r="D30" s="10" t="s">
        <v>42</v>
      </c>
      <c r="E30" s="9">
        <v>1000</v>
      </c>
      <c r="F30" s="22"/>
      <c r="G30" s="22"/>
      <c r="H30" s="8">
        <v>1000</v>
      </c>
      <c r="I30" s="22"/>
      <c r="J30" s="22"/>
      <c r="K30" s="8">
        <v>0</v>
      </c>
      <c r="N30" s="8">
        <v>0</v>
      </c>
      <c r="O30" s="54"/>
      <c r="Q30" s="8">
        <v>1000</v>
      </c>
      <c r="R30" s="54"/>
    </row>
    <row r="31" spans="1:18" x14ac:dyDescent="0.25">
      <c r="A31" s="3"/>
      <c r="B31" s="20"/>
      <c r="C31" s="20"/>
      <c r="D31" s="10" t="s">
        <v>43</v>
      </c>
      <c r="E31" s="9">
        <v>500</v>
      </c>
      <c r="F31" s="22"/>
      <c r="G31" s="22"/>
      <c r="H31" s="8">
        <v>500</v>
      </c>
      <c r="I31" s="22"/>
      <c r="J31" s="22"/>
      <c r="K31" s="8">
        <v>0</v>
      </c>
      <c r="N31" s="8">
        <v>0</v>
      </c>
      <c r="O31" s="54"/>
      <c r="Q31" s="8">
        <v>0</v>
      </c>
      <c r="R31" s="54"/>
    </row>
    <row r="32" spans="1:18" x14ac:dyDescent="0.25">
      <c r="A32" s="3"/>
      <c r="B32" s="20"/>
      <c r="C32" s="20"/>
      <c r="D32" s="10" t="s">
        <v>122</v>
      </c>
      <c r="E32" s="9"/>
      <c r="F32" s="22"/>
      <c r="G32" s="22"/>
      <c r="H32" s="8"/>
      <c r="I32" s="22"/>
      <c r="J32" s="22"/>
      <c r="K32" s="8">
        <v>0</v>
      </c>
      <c r="N32" s="8">
        <v>0</v>
      </c>
      <c r="O32" s="54"/>
      <c r="Q32" s="8">
        <v>1000</v>
      </c>
      <c r="R32" s="54"/>
    </row>
    <row r="33" spans="1:18" x14ac:dyDescent="0.25">
      <c r="A33" s="3"/>
      <c r="B33" s="20"/>
      <c r="C33" s="20"/>
      <c r="D33" s="10" t="s">
        <v>35</v>
      </c>
      <c r="E33" s="11"/>
      <c r="F33" s="22"/>
      <c r="G33" s="22"/>
      <c r="H33" s="15"/>
      <c r="I33" s="22"/>
      <c r="J33" s="22"/>
      <c r="K33" s="15">
        <v>0</v>
      </c>
      <c r="N33" s="15">
        <v>0</v>
      </c>
      <c r="O33" s="53"/>
      <c r="Q33" s="15"/>
      <c r="R33" s="53"/>
    </row>
    <row r="34" spans="1:18" x14ac:dyDescent="0.25">
      <c r="A34" s="3"/>
      <c r="B34" s="20"/>
      <c r="C34" s="20"/>
      <c r="D34" s="10" t="s">
        <v>44</v>
      </c>
      <c r="E34" s="9">
        <v>0</v>
      </c>
      <c r="F34" s="22"/>
      <c r="G34" s="22"/>
      <c r="H34" s="8">
        <v>3500</v>
      </c>
      <c r="I34" s="22"/>
      <c r="J34" s="22"/>
      <c r="K34" s="8">
        <v>0</v>
      </c>
      <c r="N34" s="8">
        <v>0</v>
      </c>
      <c r="O34" s="54"/>
      <c r="Q34" s="8">
        <v>150</v>
      </c>
      <c r="R34" s="54"/>
    </row>
    <row r="35" spans="1:18" x14ac:dyDescent="0.25">
      <c r="A35" s="3"/>
      <c r="B35" s="20"/>
      <c r="C35" s="20"/>
      <c r="D35" s="10" t="s">
        <v>45</v>
      </c>
      <c r="E35" s="9">
        <v>11200</v>
      </c>
      <c r="F35" s="22"/>
      <c r="G35" s="22"/>
      <c r="H35" s="8">
        <v>7500</v>
      </c>
      <c r="I35" s="22"/>
      <c r="J35" s="22"/>
      <c r="K35" s="8">
        <v>0</v>
      </c>
      <c r="N35" s="8">
        <v>0</v>
      </c>
      <c r="O35" s="54"/>
      <c r="Q35" s="8">
        <v>6065</v>
      </c>
      <c r="R35" s="54"/>
    </row>
    <row r="36" spans="1:18" x14ac:dyDescent="0.25">
      <c r="A36" s="3"/>
      <c r="B36" s="20"/>
      <c r="C36" s="20"/>
      <c r="D36" s="10" t="s">
        <v>118</v>
      </c>
      <c r="E36" s="9"/>
      <c r="F36" s="22"/>
      <c r="G36" s="22"/>
      <c r="H36" s="8"/>
      <c r="I36" s="22"/>
      <c r="J36" s="22"/>
      <c r="K36" s="8">
        <v>0</v>
      </c>
      <c r="N36" s="8">
        <v>16100</v>
      </c>
      <c r="O36" s="54"/>
      <c r="Q36" s="8">
        <v>22205.5</v>
      </c>
      <c r="R36" s="54"/>
    </row>
    <row r="37" spans="1:18" x14ac:dyDescent="0.25">
      <c r="A37" s="3"/>
      <c r="B37" s="20"/>
      <c r="C37" s="20"/>
      <c r="D37" s="10" t="s">
        <v>46</v>
      </c>
      <c r="E37" s="9">
        <v>0</v>
      </c>
      <c r="F37" s="22"/>
      <c r="G37" s="22"/>
      <c r="H37" s="8">
        <v>1000</v>
      </c>
      <c r="I37" s="22"/>
      <c r="J37" s="22"/>
      <c r="K37" s="8">
        <v>0</v>
      </c>
      <c r="N37" s="8">
        <v>0</v>
      </c>
      <c r="O37" s="54"/>
      <c r="Q37" s="8"/>
      <c r="R37" s="54"/>
    </row>
    <row r="38" spans="1:18" ht="15.75" thickBot="1" x14ac:dyDescent="0.3">
      <c r="A38" s="3"/>
      <c r="B38" s="20"/>
      <c r="C38" s="20"/>
      <c r="D38" s="20" t="s">
        <v>47</v>
      </c>
      <c r="E38" s="21">
        <f>SUM(E34:E37)</f>
        <v>11200</v>
      </c>
      <c r="F38" s="22"/>
      <c r="G38" s="22"/>
      <c r="H38" s="21">
        <f>SUM(H34:H37)</f>
        <v>12000</v>
      </c>
      <c r="I38" s="22"/>
      <c r="J38" s="22"/>
      <c r="K38" s="21">
        <f>SUM(K34:K37)</f>
        <v>0</v>
      </c>
      <c r="N38" s="21">
        <v>0</v>
      </c>
      <c r="O38" s="55"/>
      <c r="Q38" s="21"/>
      <c r="R38" s="55"/>
    </row>
    <row r="39" spans="1:18" x14ac:dyDescent="0.25">
      <c r="A39" s="3"/>
      <c r="B39" s="20"/>
      <c r="C39" s="20"/>
      <c r="D39" s="20" t="s">
        <v>92</v>
      </c>
      <c r="E39" s="27">
        <f>SUM(E25:E31)+E38</f>
        <v>27200</v>
      </c>
      <c r="F39" s="22"/>
      <c r="G39" s="22"/>
      <c r="H39" s="27">
        <f>SUM(H25:H31)+H38</f>
        <v>28000</v>
      </c>
      <c r="I39" s="22"/>
      <c r="J39" s="22"/>
      <c r="K39" s="27">
        <v>22000</v>
      </c>
      <c r="N39" s="27">
        <f>SUM(N23:N38)</f>
        <v>38100</v>
      </c>
      <c r="O39" s="52"/>
      <c r="Q39" s="27">
        <v>47720.5</v>
      </c>
      <c r="R39" s="52"/>
    </row>
    <row r="40" spans="1:18" x14ac:dyDescent="0.25">
      <c r="A40" s="3"/>
      <c r="B40" s="20"/>
      <c r="C40" s="20"/>
      <c r="D40" s="20"/>
      <c r="E40" s="21"/>
      <c r="F40" s="22"/>
      <c r="G40" s="22"/>
      <c r="H40" s="24"/>
      <c r="I40" s="22"/>
      <c r="J40" s="22"/>
      <c r="K40" s="23"/>
      <c r="N40" s="23"/>
      <c r="Q40" s="23"/>
    </row>
    <row r="41" spans="1:18" x14ac:dyDescent="0.25">
      <c r="A41" s="3"/>
      <c r="B41" s="20"/>
      <c r="C41" s="20"/>
      <c r="D41" s="20" t="s">
        <v>11</v>
      </c>
      <c r="E41" s="21"/>
      <c r="F41" s="22"/>
      <c r="G41" s="22"/>
      <c r="H41" s="24"/>
      <c r="I41" s="22"/>
      <c r="J41" s="22"/>
      <c r="K41" s="23"/>
      <c r="N41" s="23"/>
      <c r="Q41" s="23"/>
    </row>
    <row r="42" spans="1:18" x14ac:dyDescent="0.25">
      <c r="A42" s="3"/>
      <c r="B42" s="20"/>
      <c r="C42" s="20"/>
      <c r="D42" s="20" t="s">
        <v>116</v>
      </c>
      <c r="E42" s="21">
        <v>1337.5</v>
      </c>
      <c r="F42" s="22"/>
      <c r="G42" s="22"/>
      <c r="H42" s="24"/>
      <c r="I42" s="22"/>
      <c r="J42" s="22"/>
      <c r="K42" s="23">
        <v>3800</v>
      </c>
      <c r="N42" s="23">
        <v>1900</v>
      </c>
      <c r="O42" s="57"/>
      <c r="Q42" s="23">
        <v>2688.25</v>
      </c>
    </row>
    <row r="43" spans="1:18" x14ac:dyDescent="0.25">
      <c r="A43" s="3"/>
      <c r="B43" s="20"/>
      <c r="C43" s="20"/>
      <c r="D43" s="20" t="s">
        <v>114</v>
      </c>
      <c r="E43" s="21">
        <v>24906.5</v>
      </c>
      <c r="F43" s="22"/>
      <c r="G43" s="22"/>
      <c r="H43" s="24">
        <v>22100</v>
      </c>
      <c r="I43" s="22"/>
      <c r="J43" s="22"/>
      <c r="K43" s="23">
        <v>23500</v>
      </c>
      <c r="N43" s="23">
        <v>28000</v>
      </c>
      <c r="O43" s="57"/>
      <c r="Q43" s="23">
        <v>23692.61</v>
      </c>
    </row>
    <row r="44" spans="1:18" x14ac:dyDescent="0.25">
      <c r="A44" s="3"/>
      <c r="B44" s="20"/>
      <c r="C44" s="20"/>
      <c r="D44" s="20" t="s">
        <v>102</v>
      </c>
      <c r="E44" s="21">
        <v>1763.25</v>
      </c>
      <c r="F44" s="22"/>
      <c r="G44" s="22"/>
      <c r="H44" s="24">
        <v>4500</v>
      </c>
      <c r="I44" s="22"/>
      <c r="J44" s="22"/>
      <c r="K44" s="23">
        <v>2500</v>
      </c>
      <c r="N44" s="23">
        <v>2500</v>
      </c>
      <c r="O44" s="57"/>
      <c r="Q44" s="23">
        <v>1282.5</v>
      </c>
    </row>
    <row r="45" spans="1:18" x14ac:dyDescent="0.25">
      <c r="A45" s="3"/>
      <c r="B45" s="20"/>
      <c r="C45" s="20"/>
      <c r="D45" s="20" t="s">
        <v>48</v>
      </c>
      <c r="E45" s="21"/>
      <c r="F45" s="22"/>
      <c r="G45" s="22"/>
      <c r="H45" s="24"/>
      <c r="I45" s="22"/>
      <c r="J45" s="22"/>
      <c r="K45" s="23"/>
      <c r="N45" s="23"/>
      <c r="O45" s="51"/>
      <c r="Q45" s="23"/>
    </row>
    <row r="46" spans="1:18" x14ac:dyDescent="0.25">
      <c r="A46" s="3"/>
      <c r="B46" s="20"/>
      <c r="C46" s="20"/>
      <c r="D46" s="10" t="s">
        <v>50</v>
      </c>
      <c r="E46" s="9">
        <v>996.34</v>
      </c>
      <c r="F46" s="22"/>
      <c r="G46" s="22"/>
      <c r="H46" s="8">
        <v>600</v>
      </c>
      <c r="I46" s="22"/>
      <c r="J46" s="22"/>
      <c r="K46" s="8">
        <v>600</v>
      </c>
      <c r="N46" s="8">
        <v>600</v>
      </c>
      <c r="O46" s="54"/>
      <c r="Q46" s="8">
        <v>3076</v>
      </c>
    </row>
    <row r="47" spans="1:18" x14ac:dyDescent="0.25">
      <c r="A47" s="3"/>
      <c r="B47" s="20"/>
      <c r="C47" s="20"/>
      <c r="D47" s="10" t="s">
        <v>51</v>
      </c>
      <c r="E47" s="9">
        <v>1656.83</v>
      </c>
      <c r="F47" s="22"/>
      <c r="G47" s="22"/>
      <c r="H47" s="8">
        <v>3000</v>
      </c>
      <c r="I47" s="22"/>
      <c r="J47" s="22"/>
      <c r="K47" s="8">
        <v>1100</v>
      </c>
      <c r="N47" s="8">
        <v>1100</v>
      </c>
      <c r="O47" s="54"/>
      <c r="Q47" s="8">
        <v>1004.63</v>
      </c>
    </row>
    <row r="48" spans="1:18" x14ac:dyDescent="0.25">
      <c r="A48" s="3"/>
      <c r="B48" s="20"/>
      <c r="C48" s="20"/>
      <c r="D48" s="10" t="s">
        <v>52</v>
      </c>
      <c r="E48" s="9">
        <v>11318.07</v>
      </c>
      <c r="F48" s="22"/>
      <c r="G48" s="22"/>
      <c r="H48" s="8">
        <v>9400</v>
      </c>
      <c r="I48" s="22"/>
      <c r="J48" s="22"/>
      <c r="K48" s="8">
        <v>14400</v>
      </c>
      <c r="N48" s="8">
        <v>14400</v>
      </c>
      <c r="O48" s="54"/>
      <c r="Q48" s="8">
        <v>14170</v>
      </c>
    </row>
    <row r="49" spans="1:17" x14ac:dyDescent="0.25">
      <c r="A49" s="3"/>
      <c r="B49" s="20"/>
      <c r="C49" s="20"/>
      <c r="D49" s="10" t="s">
        <v>53</v>
      </c>
      <c r="E49" s="9">
        <v>500</v>
      </c>
      <c r="F49" s="22"/>
      <c r="G49" s="22"/>
      <c r="H49" s="8">
        <v>500</v>
      </c>
      <c r="I49" s="22"/>
      <c r="J49" s="22"/>
      <c r="K49" s="8">
        <v>0</v>
      </c>
      <c r="N49" s="8">
        <v>0</v>
      </c>
      <c r="O49" s="54"/>
      <c r="Q49" s="8"/>
    </row>
    <row r="50" spans="1:17" x14ac:dyDescent="0.25">
      <c r="A50" s="3"/>
      <c r="B50" s="20"/>
      <c r="C50" s="20"/>
      <c r="D50" s="10" t="s">
        <v>54</v>
      </c>
      <c r="E50" s="9">
        <v>15850</v>
      </c>
      <c r="F50" s="22"/>
      <c r="G50" s="22"/>
      <c r="H50" s="8">
        <v>22400</v>
      </c>
      <c r="I50" s="22"/>
      <c r="J50" s="22"/>
      <c r="K50" s="8">
        <v>15840</v>
      </c>
      <c r="N50" s="8">
        <v>15840</v>
      </c>
      <c r="O50" s="54"/>
      <c r="Q50" s="8">
        <v>15840</v>
      </c>
    </row>
    <row r="51" spans="1:17" x14ac:dyDescent="0.25">
      <c r="A51" s="3"/>
      <c r="B51" s="20"/>
      <c r="C51" s="20"/>
      <c r="D51" s="10" t="s">
        <v>55</v>
      </c>
      <c r="E51" s="9">
        <v>4764.34</v>
      </c>
      <c r="F51" s="22"/>
      <c r="G51" s="22"/>
      <c r="H51" s="8">
        <v>4450</v>
      </c>
      <c r="I51" s="22"/>
      <c r="J51" s="22"/>
      <c r="K51" s="8">
        <v>4450</v>
      </c>
      <c r="N51" s="8">
        <v>4450</v>
      </c>
      <c r="O51" s="54"/>
      <c r="Q51" s="8">
        <v>6580.08</v>
      </c>
    </row>
    <row r="52" spans="1:17" x14ac:dyDescent="0.25">
      <c r="A52" s="3"/>
      <c r="B52" s="20"/>
      <c r="C52" s="20"/>
      <c r="D52" s="10" t="s">
        <v>56</v>
      </c>
      <c r="E52" s="9">
        <v>195.68</v>
      </c>
      <c r="F52" s="22"/>
      <c r="G52" s="22"/>
      <c r="H52" s="8">
        <v>600</v>
      </c>
      <c r="I52" s="22"/>
      <c r="J52" s="22"/>
      <c r="K52" s="8">
        <v>600</v>
      </c>
      <c r="N52" s="8">
        <v>600</v>
      </c>
      <c r="O52" s="54"/>
      <c r="Q52" s="8"/>
    </row>
    <row r="53" spans="1:17" x14ac:dyDescent="0.25">
      <c r="A53" s="3"/>
      <c r="B53" s="20"/>
      <c r="C53" s="20"/>
      <c r="D53" s="10" t="s">
        <v>57</v>
      </c>
      <c r="E53" s="9">
        <v>31900</v>
      </c>
      <c r="F53" s="22"/>
      <c r="G53" s="22"/>
      <c r="H53" s="8">
        <v>33400</v>
      </c>
      <c r="I53" s="22"/>
      <c r="J53" s="22"/>
      <c r="K53" s="8">
        <v>43200</v>
      </c>
      <c r="N53" s="8">
        <v>43200</v>
      </c>
      <c r="O53" s="54"/>
      <c r="Q53" s="8">
        <v>43200</v>
      </c>
    </row>
    <row r="54" spans="1:17" x14ac:dyDescent="0.25">
      <c r="A54" s="3"/>
      <c r="B54" s="20"/>
      <c r="C54" s="20"/>
      <c r="D54" s="10" t="s">
        <v>58</v>
      </c>
      <c r="E54" s="28">
        <v>0</v>
      </c>
      <c r="F54" s="22"/>
      <c r="G54" s="22"/>
      <c r="H54" s="8">
        <v>9600</v>
      </c>
      <c r="I54" s="22"/>
      <c r="J54" s="22"/>
      <c r="K54" s="8">
        <v>0</v>
      </c>
      <c r="N54" s="8">
        <v>0</v>
      </c>
      <c r="O54" s="54"/>
      <c r="Q54" s="8"/>
    </row>
    <row r="55" spans="1:17" x14ac:dyDescent="0.25">
      <c r="A55" s="3"/>
      <c r="B55" s="20"/>
      <c r="C55" s="20"/>
      <c r="D55" s="10" t="s">
        <v>59</v>
      </c>
      <c r="E55" s="9">
        <v>222.72</v>
      </c>
      <c r="F55" s="22"/>
      <c r="G55" s="22"/>
      <c r="H55" s="8">
        <v>4000</v>
      </c>
      <c r="I55" s="22"/>
      <c r="J55" s="22"/>
      <c r="K55" s="8">
        <v>1210</v>
      </c>
      <c r="N55" s="8">
        <v>1210</v>
      </c>
      <c r="O55" s="54"/>
      <c r="Q55" s="8">
        <v>453.21</v>
      </c>
    </row>
    <row r="56" spans="1:17" x14ac:dyDescent="0.25">
      <c r="A56" s="3"/>
      <c r="B56" s="20"/>
      <c r="C56" s="20"/>
      <c r="D56" s="47" t="s">
        <v>93</v>
      </c>
      <c r="E56" s="9">
        <f>SUM(E46:E55)</f>
        <v>67403.98000000001</v>
      </c>
      <c r="F56" s="22"/>
      <c r="G56" s="22"/>
      <c r="H56" s="9">
        <f>SUM(H46:H55)</f>
        <v>87950</v>
      </c>
      <c r="I56" s="22"/>
      <c r="J56" s="22"/>
      <c r="K56" s="9">
        <f>SUM(K46:K55)</f>
        <v>81400</v>
      </c>
      <c r="N56" s="9">
        <v>81400</v>
      </c>
      <c r="O56" s="53"/>
      <c r="Q56" s="9">
        <v>84323.92</v>
      </c>
    </row>
    <row r="57" spans="1:17" x14ac:dyDescent="0.25">
      <c r="A57" s="3"/>
      <c r="B57" s="20"/>
      <c r="C57" s="20"/>
      <c r="D57" s="29" t="s">
        <v>49</v>
      </c>
      <c r="E57" s="9">
        <v>680</v>
      </c>
      <c r="F57" s="22"/>
      <c r="G57" s="22"/>
      <c r="H57" s="24">
        <v>0</v>
      </c>
      <c r="I57" s="22"/>
      <c r="J57" s="22"/>
      <c r="K57" s="23">
        <v>2000</v>
      </c>
      <c r="N57" s="23">
        <v>1000</v>
      </c>
      <c r="O57" s="57"/>
      <c r="Q57" s="23"/>
    </row>
    <row r="58" spans="1:17" ht="15.75" thickBot="1" x14ac:dyDescent="0.3">
      <c r="A58" s="3"/>
      <c r="B58" s="20"/>
      <c r="C58" s="20"/>
      <c r="D58" s="47" t="s">
        <v>115</v>
      </c>
      <c r="E58" s="9">
        <v>2143.8000000000002</v>
      </c>
      <c r="F58" s="22"/>
      <c r="G58" s="22"/>
      <c r="H58" s="8">
        <v>1500</v>
      </c>
      <c r="I58" s="22"/>
      <c r="J58" s="22"/>
      <c r="K58" s="8">
        <v>1500</v>
      </c>
      <c r="L58" s="85"/>
      <c r="M58" s="85"/>
      <c r="N58" s="8">
        <v>1500</v>
      </c>
      <c r="O58" s="54"/>
      <c r="P58" s="85"/>
      <c r="Q58" s="8">
        <v>1763.25</v>
      </c>
    </row>
    <row r="59" spans="1:17" x14ac:dyDescent="0.25">
      <c r="A59" s="3"/>
      <c r="B59" s="20"/>
      <c r="C59" s="20"/>
      <c r="D59" s="29" t="s">
        <v>60</v>
      </c>
      <c r="E59" s="30">
        <f>E42+E43+E56+E57+E58+E44</f>
        <v>98235.030000000013</v>
      </c>
      <c r="F59" s="22"/>
      <c r="G59" s="22"/>
      <c r="H59" s="30">
        <f>H42+H43+H56+H57+H58+H44</f>
        <v>116050</v>
      </c>
      <c r="I59" s="22"/>
      <c r="J59" s="22"/>
      <c r="K59" s="30">
        <f>K42+K43+K56+K57+K58+K44</f>
        <v>114700</v>
      </c>
      <c r="N59" s="30">
        <v>116300</v>
      </c>
      <c r="O59" s="57"/>
      <c r="Q59" s="30">
        <v>113750.53</v>
      </c>
    </row>
    <row r="60" spans="1:17" x14ac:dyDescent="0.25">
      <c r="A60" s="3"/>
      <c r="B60" s="20"/>
      <c r="C60" s="20"/>
      <c r="D60" s="29"/>
      <c r="E60" s="31"/>
      <c r="F60" s="22"/>
      <c r="G60" s="22"/>
      <c r="H60" s="24"/>
      <c r="I60" s="22"/>
      <c r="J60" s="22"/>
      <c r="K60" s="23"/>
      <c r="N60" s="23"/>
      <c r="Q60" s="23"/>
    </row>
    <row r="61" spans="1:17" x14ac:dyDescent="0.25">
      <c r="A61" s="3"/>
      <c r="B61" s="20"/>
      <c r="C61" s="20"/>
      <c r="D61" s="20" t="s">
        <v>12</v>
      </c>
      <c r="E61" s="21"/>
      <c r="F61" s="22"/>
      <c r="G61" s="22"/>
      <c r="H61" s="24" t="s">
        <v>107</v>
      </c>
      <c r="I61" s="22"/>
      <c r="J61" s="22"/>
      <c r="K61" s="23" t="s">
        <v>107</v>
      </c>
      <c r="N61" s="23"/>
      <c r="Q61" s="23"/>
    </row>
    <row r="62" spans="1:17" x14ac:dyDescent="0.25">
      <c r="A62" s="3"/>
      <c r="B62" s="20"/>
      <c r="C62" s="20"/>
      <c r="D62" s="10" t="s">
        <v>61</v>
      </c>
      <c r="E62" s="8"/>
      <c r="F62" s="16"/>
      <c r="G62" s="8"/>
      <c r="H62" s="24"/>
      <c r="I62" s="22"/>
      <c r="J62" s="22"/>
      <c r="K62" s="23"/>
      <c r="N62" s="23"/>
      <c r="Q62" s="23"/>
    </row>
    <row r="63" spans="1:17" x14ac:dyDescent="0.25">
      <c r="A63" s="3"/>
      <c r="B63" s="20"/>
      <c r="C63" s="20"/>
      <c r="D63" s="10" t="s">
        <v>62</v>
      </c>
      <c r="E63" s="31">
        <v>100</v>
      </c>
      <c r="F63" s="11"/>
      <c r="G63" s="22"/>
      <c r="H63" s="8">
        <v>200</v>
      </c>
      <c r="I63" s="22"/>
      <c r="J63" s="22"/>
      <c r="K63" s="8">
        <v>200</v>
      </c>
      <c r="L63" s="85"/>
      <c r="M63" s="85"/>
      <c r="N63" s="8">
        <v>200</v>
      </c>
      <c r="O63" s="54"/>
      <c r="P63" s="85"/>
      <c r="Q63" s="8">
        <v>462.8</v>
      </c>
    </row>
    <row r="64" spans="1:17" x14ac:dyDescent="0.25">
      <c r="A64" s="3"/>
      <c r="B64" s="20"/>
      <c r="C64" s="20"/>
      <c r="D64" s="47" t="s">
        <v>97</v>
      </c>
      <c r="E64" s="31"/>
      <c r="F64" s="11"/>
      <c r="G64" s="22"/>
      <c r="H64" s="8"/>
      <c r="I64" s="22"/>
      <c r="J64" s="22"/>
      <c r="K64" s="8"/>
      <c r="L64" s="85"/>
      <c r="M64" s="85"/>
      <c r="N64" s="8">
        <v>200</v>
      </c>
      <c r="O64" s="54"/>
      <c r="P64" s="85"/>
      <c r="Q64" s="8">
        <v>462.8</v>
      </c>
    </row>
    <row r="65" spans="1:17" x14ac:dyDescent="0.25">
      <c r="A65" s="3"/>
      <c r="B65" s="20"/>
      <c r="C65" s="20"/>
      <c r="D65" s="10" t="s">
        <v>63</v>
      </c>
      <c r="E65" s="11"/>
      <c r="F65" s="22"/>
      <c r="G65" s="22"/>
      <c r="H65" s="15"/>
      <c r="I65" s="22"/>
      <c r="J65" s="22"/>
      <c r="K65" s="15"/>
      <c r="N65" s="15"/>
      <c r="O65" s="53"/>
      <c r="Q65" s="15"/>
    </row>
    <row r="66" spans="1:17" x14ac:dyDescent="0.25">
      <c r="A66" s="3"/>
      <c r="B66" s="20"/>
      <c r="C66" s="20"/>
      <c r="D66" s="10" t="s">
        <v>64</v>
      </c>
      <c r="E66" s="9">
        <v>1516</v>
      </c>
      <c r="F66" s="22"/>
      <c r="G66" s="22"/>
      <c r="H66" s="8">
        <v>1500</v>
      </c>
      <c r="I66" s="22"/>
      <c r="J66" s="22"/>
      <c r="K66" s="8">
        <v>1500</v>
      </c>
      <c r="N66" s="8">
        <v>1500</v>
      </c>
      <c r="O66" s="54"/>
      <c r="Q66" s="8"/>
    </row>
    <row r="67" spans="1:17" x14ac:dyDescent="0.25">
      <c r="A67" s="3"/>
      <c r="B67" s="20"/>
      <c r="C67" s="20"/>
      <c r="D67" s="10" t="s">
        <v>65</v>
      </c>
      <c r="E67" s="9">
        <v>0</v>
      </c>
      <c r="F67" s="22"/>
      <c r="G67" s="22"/>
      <c r="H67" s="8">
        <v>300</v>
      </c>
      <c r="I67" s="22"/>
      <c r="J67" s="22"/>
      <c r="K67" s="8">
        <v>300</v>
      </c>
      <c r="N67" s="8">
        <v>300</v>
      </c>
      <c r="O67" s="54"/>
      <c r="Q67" s="8"/>
    </row>
    <row r="68" spans="1:17" x14ac:dyDescent="0.25">
      <c r="A68" s="3"/>
      <c r="B68" s="20"/>
      <c r="C68" s="20"/>
      <c r="D68" s="10" t="s">
        <v>66</v>
      </c>
      <c r="E68" s="9">
        <v>1300</v>
      </c>
      <c r="F68" s="22"/>
      <c r="G68" s="22"/>
      <c r="H68" s="8">
        <v>3000</v>
      </c>
      <c r="I68" s="22"/>
      <c r="J68" s="22"/>
      <c r="K68" s="8">
        <v>1100</v>
      </c>
      <c r="N68" s="8">
        <v>1100</v>
      </c>
      <c r="O68" s="54"/>
      <c r="Q68" s="8"/>
    </row>
    <row r="69" spans="1:17" x14ac:dyDescent="0.25">
      <c r="A69" s="3"/>
      <c r="B69" s="20"/>
      <c r="C69" s="20"/>
      <c r="D69" s="10" t="s">
        <v>67</v>
      </c>
      <c r="E69" s="9">
        <v>640.69000000000005</v>
      </c>
      <c r="F69" s="22"/>
      <c r="G69" s="22"/>
      <c r="H69" s="8">
        <v>2200</v>
      </c>
      <c r="I69" s="22"/>
      <c r="J69" s="22"/>
      <c r="K69" s="8">
        <v>1000</v>
      </c>
      <c r="N69" s="8">
        <v>1000</v>
      </c>
      <c r="O69" s="54"/>
      <c r="Q69" s="8"/>
    </row>
    <row r="70" spans="1:17" x14ac:dyDescent="0.25">
      <c r="A70" s="3"/>
      <c r="B70" s="20"/>
      <c r="C70" s="20"/>
      <c r="D70" s="10" t="s">
        <v>68</v>
      </c>
      <c r="E70" s="28">
        <v>102.52</v>
      </c>
      <c r="F70" s="22"/>
      <c r="G70" s="22"/>
      <c r="H70" s="8">
        <v>1500</v>
      </c>
      <c r="I70" s="22"/>
      <c r="J70" s="22"/>
      <c r="K70" s="8">
        <v>400</v>
      </c>
      <c r="N70" s="8">
        <v>400</v>
      </c>
      <c r="O70" s="54"/>
      <c r="Q70" s="8">
        <v>80.39</v>
      </c>
    </row>
    <row r="71" spans="1:17" x14ac:dyDescent="0.25">
      <c r="A71" s="3"/>
      <c r="B71" s="20"/>
      <c r="C71" s="20"/>
      <c r="D71" s="47" t="s">
        <v>94</v>
      </c>
      <c r="E71" s="16">
        <f>SUM(E66:E70)</f>
        <v>3559.21</v>
      </c>
      <c r="F71" s="22"/>
      <c r="G71" s="22"/>
      <c r="H71" s="16">
        <f>SUM(H66:H70)</f>
        <v>8500</v>
      </c>
      <c r="I71" s="22"/>
      <c r="J71" s="22"/>
      <c r="K71" s="16">
        <f>SUM(K66:K70)</f>
        <v>4300</v>
      </c>
      <c r="N71" s="16">
        <v>4300</v>
      </c>
      <c r="O71" s="56"/>
      <c r="Q71" s="16">
        <v>80.39</v>
      </c>
    </row>
    <row r="72" spans="1:17" x14ac:dyDescent="0.25">
      <c r="A72" s="3"/>
      <c r="B72" s="20"/>
      <c r="C72" s="20"/>
      <c r="D72" s="10" t="s">
        <v>69</v>
      </c>
      <c r="E72" s="11"/>
      <c r="F72" s="11"/>
      <c r="G72" s="15"/>
      <c r="H72" s="15"/>
      <c r="I72" s="22"/>
      <c r="J72" s="22"/>
      <c r="K72" s="15"/>
      <c r="N72" s="15"/>
      <c r="O72" s="53"/>
      <c r="Q72" s="15"/>
    </row>
    <row r="73" spans="1:17" x14ac:dyDescent="0.25">
      <c r="A73" s="3"/>
      <c r="B73" s="20"/>
      <c r="C73" s="20"/>
      <c r="D73" s="10" t="s">
        <v>70</v>
      </c>
      <c r="E73" s="9">
        <v>0</v>
      </c>
      <c r="F73" s="9"/>
      <c r="G73" s="8"/>
      <c r="H73" s="8">
        <v>1000</v>
      </c>
      <c r="I73" s="22"/>
      <c r="J73" s="22"/>
      <c r="K73" s="8">
        <v>1000</v>
      </c>
      <c r="N73" s="8">
        <v>1000</v>
      </c>
      <c r="O73" s="54"/>
      <c r="Q73" s="8"/>
    </row>
    <row r="74" spans="1:17" x14ac:dyDescent="0.25">
      <c r="A74" s="3"/>
      <c r="B74" s="20"/>
      <c r="C74" s="20"/>
      <c r="D74" s="10" t="s">
        <v>71</v>
      </c>
      <c r="E74" s="9">
        <v>235.63</v>
      </c>
      <c r="F74" s="9"/>
      <c r="G74" s="8"/>
      <c r="H74" s="8">
        <v>400</v>
      </c>
      <c r="I74" s="22"/>
      <c r="J74" s="22"/>
      <c r="K74" s="8">
        <v>400</v>
      </c>
      <c r="N74" s="8">
        <v>400</v>
      </c>
      <c r="O74" s="54"/>
      <c r="Q74" s="8"/>
    </row>
    <row r="75" spans="1:17" x14ac:dyDescent="0.25">
      <c r="A75" s="3"/>
      <c r="B75" s="20"/>
      <c r="C75" s="20"/>
      <c r="D75" s="47" t="s">
        <v>95</v>
      </c>
      <c r="E75" s="9">
        <f>E73+E74</f>
        <v>235.63</v>
      </c>
      <c r="F75" s="9"/>
      <c r="G75" s="8"/>
      <c r="H75" s="9">
        <f>H73+H74</f>
        <v>1400</v>
      </c>
      <c r="I75" s="22"/>
      <c r="J75" s="22"/>
      <c r="K75" s="9">
        <f>K73+K74</f>
        <v>1400</v>
      </c>
      <c r="N75" s="9">
        <v>1400</v>
      </c>
      <c r="O75" s="53"/>
      <c r="Q75" s="9"/>
    </row>
    <row r="76" spans="1:17" x14ac:dyDescent="0.25">
      <c r="A76" s="3"/>
      <c r="B76" s="20"/>
      <c r="C76" s="20"/>
      <c r="D76" s="10" t="s">
        <v>72</v>
      </c>
      <c r="E76" s="11"/>
      <c r="F76" s="11"/>
      <c r="G76" s="15"/>
      <c r="H76" s="15"/>
      <c r="I76" s="22"/>
      <c r="J76" s="22"/>
      <c r="K76" s="15"/>
      <c r="N76" s="15"/>
      <c r="O76" s="53"/>
      <c r="Q76" s="15"/>
    </row>
    <row r="77" spans="1:17" x14ac:dyDescent="0.25">
      <c r="A77" s="3"/>
      <c r="B77" s="20"/>
      <c r="C77" s="20"/>
      <c r="D77" s="10" t="s">
        <v>73</v>
      </c>
      <c r="E77" s="9"/>
      <c r="F77" s="9"/>
      <c r="G77" s="8"/>
      <c r="H77" s="8">
        <v>300</v>
      </c>
      <c r="I77" s="22"/>
      <c r="J77" s="22"/>
      <c r="K77" s="8">
        <v>300</v>
      </c>
      <c r="N77" s="8">
        <v>300</v>
      </c>
      <c r="O77" s="54"/>
      <c r="Q77" s="8">
        <v>200</v>
      </c>
    </row>
    <row r="78" spans="1:17" x14ac:dyDescent="0.25">
      <c r="A78" s="3"/>
      <c r="B78" s="20"/>
      <c r="C78" s="20"/>
      <c r="D78" s="10" t="s">
        <v>71</v>
      </c>
      <c r="E78" s="9">
        <f>5355.02</f>
        <v>5355.02</v>
      </c>
      <c r="F78" s="9"/>
      <c r="G78" s="8"/>
      <c r="H78" s="8">
        <v>1400</v>
      </c>
      <c r="I78" s="22"/>
      <c r="J78" s="22"/>
      <c r="K78" s="8">
        <v>1400</v>
      </c>
      <c r="N78" s="8">
        <v>1400</v>
      </c>
      <c r="O78" s="54"/>
      <c r="Q78" s="8">
        <v>1186.98</v>
      </c>
    </row>
    <row r="79" spans="1:17" x14ac:dyDescent="0.25">
      <c r="A79" s="3"/>
      <c r="B79" s="20"/>
      <c r="C79" s="20"/>
      <c r="D79" s="10" t="s">
        <v>75</v>
      </c>
      <c r="E79" s="9"/>
      <c r="F79" s="9"/>
      <c r="G79" s="8"/>
      <c r="H79" s="8"/>
      <c r="I79" s="22"/>
      <c r="J79" s="22"/>
      <c r="K79" s="8">
        <v>2000</v>
      </c>
      <c r="N79" s="8">
        <v>2000</v>
      </c>
      <c r="O79" s="54"/>
      <c r="Q79" s="8">
        <v>4820.1400000000003</v>
      </c>
    </row>
    <row r="80" spans="1:17" x14ac:dyDescent="0.25">
      <c r="A80" s="3"/>
      <c r="B80" s="20"/>
      <c r="C80" s="20"/>
      <c r="D80" s="10" t="s">
        <v>74</v>
      </c>
      <c r="E80" s="9">
        <v>600</v>
      </c>
      <c r="F80" s="9"/>
      <c r="G80" s="8"/>
      <c r="H80" s="8">
        <v>600</v>
      </c>
      <c r="I80" s="22"/>
      <c r="J80" s="22"/>
      <c r="K80" s="8">
        <v>600</v>
      </c>
      <c r="N80" s="8">
        <v>600</v>
      </c>
      <c r="O80" s="54"/>
      <c r="Q80" s="8">
        <v>300</v>
      </c>
    </row>
    <row r="81" spans="1:17" ht="15.75" thickBot="1" x14ac:dyDescent="0.3">
      <c r="A81" s="3"/>
      <c r="B81" s="20"/>
      <c r="C81" s="20"/>
      <c r="D81" s="20" t="s">
        <v>96</v>
      </c>
      <c r="E81" s="21">
        <f>SUM(E77:E80)</f>
        <v>5955.02</v>
      </c>
      <c r="F81" s="22"/>
      <c r="G81" s="22"/>
      <c r="H81" s="21">
        <f>SUM(H77:H80)</f>
        <v>2300</v>
      </c>
      <c r="I81" s="22"/>
      <c r="J81" s="22"/>
      <c r="K81" s="21">
        <f>SUM(K77:K80)</f>
        <v>4300</v>
      </c>
      <c r="N81" s="21">
        <v>4300</v>
      </c>
      <c r="O81" s="52"/>
      <c r="Q81" s="21">
        <v>6507.12</v>
      </c>
    </row>
    <row r="82" spans="1:17" x14ac:dyDescent="0.25">
      <c r="A82" s="3"/>
      <c r="B82" s="20"/>
      <c r="C82" s="20"/>
      <c r="D82" s="20" t="s">
        <v>103</v>
      </c>
      <c r="E82" s="27">
        <f>E63+E71+E75+E81</f>
        <v>9849.86</v>
      </c>
      <c r="F82" s="22"/>
      <c r="G82" s="22"/>
      <c r="H82" s="27">
        <f>H63+H71+H75+H81+100</f>
        <v>12500</v>
      </c>
      <c r="I82" s="22"/>
      <c r="J82" s="22"/>
      <c r="K82" s="27">
        <f>K66+K67+K68+K69+K70+K73+K74+K77+K78+K79+K80+K63</f>
        <v>10200</v>
      </c>
      <c r="N82" s="27">
        <v>10200</v>
      </c>
      <c r="O82" s="52"/>
      <c r="Q82" s="27">
        <v>7050.31</v>
      </c>
    </row>
    <row r="83" spans="1:17" x14ac:dyDescent="0.25">
      <c r="A83" s="3"/>
      <c r="B83" s="20"/>
      <c r="C83" s="20"/>
      <c r="D83" s="20"/>
      <c r="E83" s="21"/>
      <c r="F83" s="22"/>
      <c r="G83" s="22"/>
      <c r="H83" s="21"/>
      <c r="I83" s="22"/>
      <c r="J83" s="22"/>
      <c r="K83" s="21"/>
      <c r="N83" s="21"/>
      <c r="Q83" s="21"/>
    </row>
    <row r="84" spans="1:17" x14ac:dyDescent="0.25">
      <c r="A84" s="3"/>
      <c r="B84" s="20"/>
      <c r="C84" s="20"/>
      <c r="D84" s="20" t="s">
        <v>13</v>
      </c>
      <c r="E84" s="21">
        <f>5143.4+47891.39+2778.47+11567.48</f>
        <v>67380.740000000005</v>
      </c>
      <c r="F84" s="22"/>
      <c r="G84" s="22"/>
      <c r="H84" s="24">
        <v>65700</v>
      </c>
      <c r="I84" s="22"/>
      <c r="J84" s="22"/>
      <c r="K84" s="23">
        <f>3300+48750+2950</f>
        <v>55000</v>
      </c>
      <c r="N84" s="23"/>
      <c r="O84" s="57"/>
      <c r="Q84" s="23"/>
    </row>
    <row r="85" spans="1:17" x14ac:dyDescent="0.25">
      <c r="A85" s="3"/>
      <c r="B85" s="20"/>
      <c r="C85" s="20"/>
      <c r="D85" s="20" t="s">
        <v>90</v>
      </c>
      <c r="E85" s="21"/>
      <c r="F85" s="22"/>
      <c r="G85" s="22"/>
      <c r="H85" s="24"/>
      <c r="I85" s="22"/>
      <c r="J85" s="22"/>
      <c r="K85" s="23"/>
      <c r="N85" s="23"/>
      <c r="O85" s="51"/>
      <c r="Q85" s="23"/>
    </row>
    <row r="86" spans="1:17" x14ac:dyDescent="0.25">
      <c r="A86" s="3"/>
      <c r="B86" s="20"/>
      <c r="C86" s="20"/>
      <c r="D86" s="10" t="s">
        <v>123</v>
      </c>
      <c r="E86" s="9"/>
      <c r="F86" s="9"/>
      <c r="G86" s="8"/>
      <c r="H86" s="8"/>
      <c r="I86" s="22"/>
      <c r="J86" s="22"/>
      <c r="K86" s="8"/>
      <c r="N86" s="8"/>
      <c r="O86" s="54"/>
      <c r="Q86" s="8">
        <v>219.36</v>
      </c>
    </row>
    <row r="87" spans="1:17" x14ac:dyDescent="0.25">
      <c r="A87" s="3"/>
      <c r="B87" s="20"/>
      <c r="C87" s="20"/>
      <c r="D87" s="10" t="s">
        <v>56</v>
      </c>
      <c r="E87" s="9"/>
      <c r="F87" s="9"/>
      <c r="G87" s="8"/>
      <c r="H87" s="8"/>
      <c r="I87" s="22"/>
      <c r="J87" s="22"/>
      <c r="K87" s="8"/>
      <c r="N87" s="8"/>
      <c r="O87" s="54"/>
      <c r="Q87" s="8">
        <v>350</v>
      </c>
    </row>
    <row r="88" spans="1:17" x14ac:dyDescent="0.25">
      <c r="A88" s="3"/>
      <c r="B88" s="20"/>
      <c r="C88" s="20"/>
      <c r="D88" s="10" t="s">
        <v>87</v>
      </c>
      <c r="E88" s="9">
        <f>4870.68-1337.5</f>
        <v>3533.1800000000003</v>
      </c>
      <c r="F88" s="9"/>
      <c r="G88" s="8"/>
      <c r="H88" s="8">
        <v>3300</v>
      </c>
      <c r="I88" s="22"/>
      <c r="J88" s="22"/>
      <c r="K88" s="8">
        <v>3800</v>
      </c>
      <c r="N88" s="8">
        <v>1900</v>
      </c>
      <c r="O88" s="54"/>
      <c r="Q88" s="8"/>
    </row>
    <row r="89" spans="1:17" x14ac:dyDescent="0.25">
      <c r="A89" s="3"/>
      <c r="B89" s="20"/>
      <c r="C89" s="20"/>
      <c r="D89" s="10" t="s">
        <v>88</v>
      </c>
      <c r="E89" s="9">
        <v>0</v>
      </c>
      <c r="F89" s="9"/>
      <c r="G89" s="8"/>
      <c r="H89" s="8">
        <v>100</v>
      </c>
      <c r="I89" s="22"/>
      <c r="J89" s="22"/>
      <c r="K89" s="8">
        <v>100</v>
      </c>
      <c r="N89" s="8">
        <v>100</v>
      </c>
      <c r="O89" s="54"/>
      <c r="Q89" s="8"/>
    </row>
    <row r="90" spans="1:17" x14ac:dyDescent="0.25">
      <c r="A90" s="3"/>
      <c r="B90" s="20"/>
      <c r="C90" s="20"/>
      <c r="D90" s="10" t="s">
        <v>89</v>
      </c>
      <c r="E90" s="9">
        <v>1610.22</v>
      </c>
      <c r="F90" s="9"/>
      <c r="G90" s="8"/>
      <c r="H90" s="8">
        <v>3000</v>
      </c>
      <c r="I90" s="22"/>
      <c r="J90" s="22"/>
      <c r="K90" s="8">
        <v>3000</v>
      </c>
      <c r="N90" s="8">
        <v>3000</v>
      </c>
      <c r="O90" s="54"/>
      <c r="Q90" s="8">
        <v>4328.8100000000004</v>
      </c>
    </row>
    <row r="91" spans="1:17" x14ac:dyDescent="0.25">
      <c r="A91" s="3"/>
      <c r="B91" s="20"/>
      <c r="C91" s="20"/>
      <c r="D91" s="10" t="s">
        <v>91</v>
      </c>
      <c r="E91" s="9">
        <v>0</v>
      </c>
      <c r="F91" s="9"/>
      <c r="G91" s="8"/>
      <c r="H91" s="8">
        <v>200</v>
      </c>
      <c r="I91" s="22"/>
      <c r="J91" s="22"/>
      <c r="K91" s="8">
        <v>200</v>
      </c>
      <c r="N91" s="8">
        <v>200</v>
      </c>
      <c r="O91" s="54"/>
      <c r="Q91" s="8">
        <v>36.200000000000003</v>
      </c>
    </row>
    <row r="92" spans="1:17" x14ac:dyDescent="0.25">
      <c r="A92" s="3"/>
      <c r="B92" s="20"/>
      <c r="C92" s="20"/>
      <c r="D92" s="20" t="s">
        <v>98</v>
      </c>
      <c r="E92" s="21">
        <f>SUM(E86:E91)</f>
        <v>5143.4000000000005</v>
      </c>
      <c r="F92" s="22"/>
      <c r="G92" s="22"/>
      <c r="H92" s="21">
        <f>SUM(H86:H91)</f>
        <v>6600</v>
      </c>
      <c r="I92" s="22"/>
      <c r="J92" s="22"/>
      <c r="K92" s="21">
        <f>SUM(K86:K91)</f>
        <v>7100</v>
      </c>
      <c r="N92" s="21">
        <v>5200</v>
      </c>
      <c r="O92" s="52"/>
      <c r="Q92" s="21">
        <v>4934.37</v>
      </c>
    </row>
    <row r="93" spans="1:17" x14ac:dyDescent="0.25">
      <c r="A93" s="3"/>
      <c r="B93" s="20"/>
      <c r="C93" s="20"/>
      <c r="D93" s="10" t="s">
        <v>76</v>
      </c>
      <c r="E93" s="11"/>
      <c r="F93" s="11"/>
      <c r="G93" s="22"/>
      <c r="H93" s="15"/>
      <c r="I93" s="22"/>
      <c r="J93" s="22"/>
      <c r="K93" s="15">
        <f>SUM(K94:K100)</f>
        <v>34050</v>
      </c>
      <c r="N93" s="15"/>
      <c r="O93" s="53"/>
      <c r="Q93" s="15"/>
    </row>
    <row r="94" spans="1:17" x14ac:dyDescent="0.25">
      <c r="A94" s="3"/>
      <c r="B94" s="20"/>
      <c r="C94" s="20"/>
      <c r="D94" s="47" t="s">
        <v>77</v>
      </c>
      <c r="E94" s="9">
        <v>343</v>
      </c>
      <c r="F94" s="9"/>
      <c r="G94" s="22"/>
      <c r="H94" s="8">
        <v>400</v>
      </c>
      <c r="I94" s="22"/>
      <c r="J94" s="22"/>
      <c r="K94" s="8">
        <v>400</v>
      </c>
      <c r="N94" s="8">
        <v>400</v>
      </c>
      <c r="O94" s="53"/>
      <c r="Q94" s="8">
        <v>467.88</v>
      </c>
    </row>
    <row r="95" spans="1:17" x14ac:dyDescent="0.25">
      <c r="A95" s="3"/>
      <c r="B95" s="20"/>
      <c r="C95" s="20"/>
      <c r="D95" s="10" t="s">
        <v>117</v>
      </c>
      <c r="E95" s="9"/>
      <c r="F95" s="9"/>
      <c r="G95" s="22"/>
      <c r="H95" s="8"/>
      <c r="I95" s="22"/>
      <c r="J95" s="22"/>
      <c r="K95" s="8"/>
      <c r="N95" s="8">
        <v>2000</v>
      </c>
      <c r="O95" s="54"/>
      <c r="Q95" s="8">
        <v>0</v>
      </c>
    </row>
    <row r="96" spans="1:17" x14ac:dyDescent="0.25">
      <c r="A96" s="3"/>
      <c r="B96" s="20"/>
      <c r="C96" s="20"/>
      <c r="D96" s="47" t="s">
        <v>78</v>
      </c>
      <c r="E96" s="9">
        <v>5754.91</v>
      </c>
      <c r="F96" s="9"/>
      <c r="G96" s="22"/>
      <c r="H96" s="8">
        <v>7000</v>
      </c>
      <c r="I96" s="22"/>
      <c r="J96" s="22"/>
      <c r="K96" s="8">
        <v>7000</v>
      </c>
      <c r="N96" s="8">
        <v>7000</v>
      </c>
      <c r="O96" s="53"/>
      <c r="Q96" s="8">
        <v>5861.77</v>
      </c>
    </row>
    <row r="97" spans="1:17" x14ac:dyDescent="0.25">
      <c r="A97" s="3"/>
      <c r="B97" s="20"/>
      <c r="C97" s="20"/>
      <c r="D97" s="47" t="s">
        <v>79</v>
      </c>
      <c r="E97" s="9">
        <v>5818.69</v>
      </c>
      <c r="F97" s="9"/>
      <c r="G97" s="22"/>
      <c r="H97" s="8">
        <v>6000</v>
      </c>
      <c r="I97" s="22"/>
      <c r="J97" s="22"/>
      <c r="K97" s="8">
        <v>5650</v>
      </c>
      <c r="N97" s="8">
        <v>5500</v>
      </c>
      <c r="O97" s="53"/>
      <c r="Q97" s="8">
        <v>5170.0200000000004</v>
      </c>
    </row>
    <row r="98" spans="1:17" x14ac:dyDescent="0.25">
      <c r="A98" s="3"/>
      <c r="B98" s="20"/>
      <c r="C98" s="20"/>
      <c r="D98" s="47" t="s">
        <v>80</v>
      </c>
      <c r="E98" s="9">
        <v>4798.0600000000004</v>
      </c>
      <c r="F98" s="9"/>
      <c r="G98" s="22"/>
      <c r="H98" s="8">
        <v>8000</v>
      </c>
      <c r="I98" s="22"/>
      <c r="J98" s="22"/>
      <c r="K98" s="8">
        <v>6500</v>
      </c>
      <c r="N98" s="8">
        <v>6500</v>
      </c>
      <c r="O98" s="53"/>
      <c r="Q98" s="8">
        <v>9219.77</v>
      </c>
    </row>
    <row r="99" spans="1:17" x14ac:dyDescent="0.25">
      <c r="A99" s="3"/>
      <c r="B99" s="20"/>
      <c r="C99" s="20"/>
      <c r="D99" s="47" t="s">
        <v>81</v>
      </c>
      <c r="E99" s="9">
        <v>19609.25</v>
      </c>
      <c r="F99" s="9"/>
      <c r="G99" s="22"/>
      <c r="H99" s="8">
        <v>23000</v>
      </c>
      <c r="I99" s="22"/>
      <c r="J99" s="22"/>
      <c r="K99" s="8">
        <v>14500</v>
      </c>
      <c r="N99" s="8">
        <v>40000</v>
      </c>
      <c r="O99" s="53"/>
      <c r="Q99" s="8">
        <v>3817.53</v>
      </c>
    </row>
    <row r="100" spans="1:17" x14ac:dyDescent="0.25">
      <c r="A100" s="3"/>
      <c r="B100" s="20"/>
      <c r="C100" s="20"/>
      <c r="D100" s="10" t="s">
        <v>82</v>
      </c>
      <c r="E100" s="11"/>
      <c r="F100" s="11"/>
      <c r="G100" s="22"/>
      <c r="H100" s="15"/>
      <c r="I100" s="22"/>
      <c r="J100" s="22"/>
      <c r="K100" s="15"/>
      <c r="N100" s="15"/>
      <c r="O100" s="53"/>
      <c r="Q100" s="15"/>
    </row>
    <row r="101" spans="1:17" x14ac:dyDescent="0.25">
      <c r="A101" s="3"/>
      <c r="B101" s="20"/>
      <c r="C101" s="20"/>
      <c r="D101" s="10" t="s">
        <v>83</v>
      </c>
      <c r="E101" s="9">
        <v>1849.11</v>
      </c>
      <c r="F101" s="9"/>
      <c r="G101" s="22"/>
      <c r="H101" s="8">
        <v>3600</v>
      </c>
      <c r="I101" s="22"/>
      <c r="J101" s="22"/>
      <c r="K101" s="8">
        <v>3600</v>
      </c>
      <c r="N101" s="8">
        <v>3600</v>
      </c>
      <c r="O101" s="54"/>
      <c r="Q101" s="8">
        <v>1440.54</v>
      </c>
    </row>
    <row r="102" spans="1:17" x14ac:dyDescent="0.25">
      <c r="A102" s="3"/>
      <c r="B102" s="20"/>
      <c r="C102" s="20"/>
      <c r="D102" s="10" t="s">
        <v>84</v>
      </c>
      <c r="E102" s="9">
        <v>3168.71</v>
      </c>
      <c r="F102" s="9"/>
      <c r="G102" s="22"/>
      <c r="H102" s="8">
        <v>3000</v>
      </c>
      <c r="I102" s="22"/>
      <c r="J102" s="22"/>
      <c r="K102" s="8">
        <v>3000</v>
      </c>
      <c r="N102" s="8">
        <v>3000</v>
      </c>
      <c r="O102" s="54"/>
      <c r="Q102" s="8">
        <v>3138.85</v>
      </c>
    </row>
    <row r="103" spans="1:17" x14ac:dyDescent="0.25">
      <c r="A103" s="3"/>
      <c r="B103" s="20"/>
      <c r="C103" s="20"/>
      <c r="D103" s="10" t="s">
        <v>85</v>
      </c>
      <c r="E103" s="9">
        <v>5017.29</v>
      </c>
      <c r="F103" s="9"/>
      <c r="G103" s="22"/>
      <c r="H103" s="8">
        <v>6500</v>
      </c>
      <c r="I103" s="22"/>
      <c r="J103" s="22"/>
      <c r="K103" s="8">
        <v>6500</v>
      </c>
      <c r="N103" s="8">
        <v>6500</v>
      </c>
      <c r="O103" s="54"/>
      <c r="Q103" s="8">
        <v>5127.6899999999996</v>
      </c>
    </row>
    <row r="104" spans="1:17" x14ac:dyDescent="0.25">
      <c r="A104" s="3"/>
      <c r="B104" s="20"/>
      <c r="C104" s="20"/>
      <c r="D104" s="10" t="s">
        <v>86</v>
      </c>
      <c r="E104" s="9">
        <v>1532.37</v>
      </c>
      <c r="F104" s="9"/>
      <c r="G104" s="22"/>
      <c r="H104" s="8">
        <v>1600</v>
      </c>
      <c r="I104" s="22"/>
      <c r="J104" s="22"/>
      <c r="K104" s="8">
        <v>1600</v>
      </c>
      <c r="N104" s="8">
        <v>1600</v>
      </c>
      <c r="O104" s="54"/>
      <c r="Q104" s="8">
        <v>1762.81</v>
      </c>
    </row>
    <row r="105" spans="1:17" x14ac:dyDescent="0.25">
      <c r="A105" s="3"/>
      <c r="B105" s="20"/>
      <c r="C105" s="20"/>
      <c r="D105" s="20" t="s">
        <v>99</v>
      </c>
      <c r="E105" s="21">
        <f>SUM(E101:E104)</f>
        <v>11567.48</v>
      </c>
      <c r="F105" s="22"/>
      <c r="G105" s="22"/>
      <c r="H105" s="21">
        <f>SUM(H101:H104)</f>
        <v>14700</v>
      </c>
      <c r="I105" s="22"/>
      <c r="J105" s="22"/>
      <c r="K105" s="21">
        <f>SUM(K101:K104)</f>
        <v>14700</v>
      </c>
      <c r="N105" s="21">
        <v>14700</v>
      </c>
      <c r="O105" s="58"/>
      <c r="Q105" s="21">
        <v>11469.89</v>
      </c>
    </row>
    <row r="106" spans="1:17" x14ac:dyDescent="0.25">
      <c r="A106" s="3"/>
      <c r="B106" s="20"/>
      <c r="C106" s="20"/>
      <c r="D106" s="20" t="s">
        <v>100</v>
      </c>
      <c r="E106" s="21">
        <f>SUM(E94:E99)+E105</f>
        <v>47891.39</v>
      </c>
      <c r="F106" s="22"/>
      <c r="G106" s="22"/>
      <c r="H106" s="21">
        <f>H86+H87+H90+H91+H94+H96+H97+H98+H99+H101+H102+H103+H104</f>
        <v>62300</v>
      </c>
      <c r="I106" s="22"/>
      <c r="J106" s="22"/>
      <c r="K106" s="21">
        <f>K86+K87+K90+K91+K94+K96+K97+K98+K99+K101+K102+K103+K104-750-100</f>
        <v>51100</v>
      </c>
      <c r="N106" s="21">
        <v>74100</v>
      </c>
      <c r="O106" s="58"/>
      <c r="Q106" s="21">
        <v>40941.230000000003</v>
      </c>
    </row>
    <row r="107" spans="1:17" x14ac:dyDescent="0.25">
      <c r="A107" s="3"/>
      <c r="B107" s="20"/>
      <c r="C107" s="20"/>
      <c r="D107" s="46" t="s">
        <v>105</v>
      </c>
      <c r="E107" s="21">
        <v>2778.47</v>
      </c>
      <c r="F107" s="22"/>
      <c r="G107" s="22"/>
      <c r="H107" s="21">
        <v>2800</v>
      </c>
      <c r="I107" s="22"/>
      <c r="J107" s="22"/>
      <c r="K107" s="21">
        <v>2950</v>
      </c>
      <c r="N107" s="21">
        <v>3100</v>
      </c>
      <c r="O107" s="59"/>
      <c r="Q107" s="21">
        <v>3427.14</v>
      </c>
    </row>
    <row r="108" spans="1:17" ht="15.75" thickBot="1" x14ac:dyDescent="0.3">
      <c r="A108" s="3"/>
      <c r="B108" s="20"/>
      <c r="C108" s="20"/>
      <c r="D108" s="20" t="s">
        <v>101</v>
      </c>
      <c r="E108" s="32">
        <f>E92+E106+E105+E107</f>
        <v>67380.740000000005</v>
      </c>
      <c r="F108" s="22"/>
      <c r="G108" s="22"/>
      <c r="H108" s="32">
        <f>H106</f>
        <v>62300</v>
      </c>
      <c r="I108" s="22"/>
      <c r="J108" s="22"/>
      <c r="K108" s="32">
        <f>K106</f>
        <v>51100</v>
      </c>
      <c r="N108" s="32">
        <f>+N106</f>
        <v>74100</v>
      </c>
      <c r="O108" s="58"/>
      <c r="Q108" s="32">
        <v>40941.230000000003</v>
      </c>
    </row>
    <row r="109" spans="1:17" x14ac:dyDescent="0.25">
      <c r="A109" s="3"/>
      <c r="B109" s="20"/>
      <c r="C109" s="20"/>
      <c r="D109" s="20" t="s">
        <v>104</v>
      </c>
      <c r="E109" s="21"/>
      <c r="F109" s="22"/>
      <c r="G109" s="22"/>
      <c r="H109" s="24" t="s">
        <v>106</v>
      </c>
      <c r="I109" s="22"/>
      <c r="J109" s="22"/>
      <c r="K109" s="23"/>
      <c r="N109" s="23"/>
      <c r="O109" s="60"/>
      <c r="Q109" s="23"/>
    </row>
    <row r="110" spans="1:17" hidden="1" x14ac:dyDescent="0.25">
      <c r="A110" s="3"/>
      <c r="B110" s="20"/>
      <c r="C110" s="20"/>
      <c r="D110" s="20"/>
      <c r="E110" s="21"/>
      <c r="F110" s="22"/>
      <c r="G110" s="22"/>
      <c r="H110" s="24"/>
      <c r="I110" s="22"/>
      <c r="J110" s="22"/>
      <c r="K110" s="23"/>
      <c r="N110" s="23"/>
      <c r="O110" s="60"/>
      <c r="Q110" s="23">
        <v>0</v>
      </c>
    </row>
    <row r="111" spans="1:17" hidden="1" x14ac:dyDescent="0.25">
      <c r="A111" s="3"/>
      <c r="B111" s="20"/>
      <c r="C111" s="20"/>
      <c r="D111" s="20"/>
      <c r="E111" s="21"/>
      <c r="F111" s="22"/>
      <c r="G111" s="22"/>
      <c r="H111" s="24"/>
      <c r="I111" s="22"/>
      <c r="J111" s="22"/>
      <c r="K111" s="23"/>
      <c r="N111" s="23"/>
      <c r="O111" s="60"/>
      <c r="Q111" s="23">
        <v>0</v>
      </c>
    </row>
    <row r="112" spans="1:17" hidden="1" x14ac:dyDescent="0.25">
      <c r="A112" s="3"/>
      <c r="B112" s="20"/>
      <c r="C112" s="20"/>
      <c r="D112" s="20"/>
      <c r="E112" s="21"/>
      <c r="F112" s="22"/>
      <c r="G112" s="22"/>
      <c r="H112" s="24"/>
      <c r="I112" s="22"/>
      <c r="J112" s="22"/>
      <c r="K112" s="23"/>
      <c r="N112" s="23"/>
      <c r="O112" s="60"/>
      <c r="Q112" s="23">
        <v>0</v>
      </c>
    </row>
    <row r="113" spans="1:17" hidden="1" x14ac:dyDescent="0.25">
      <c r="A113" s="3"/>
      <c r="B113" s="20"/>
      <c r="C113" s="20"/>
      <c r="D113" s="20"/>
      <c r="E113" s="21"/>
      <c r="F113" s="33">
        <f>E39+E59+E82+E108</f>
        <v>202665.63</v>
      </c>
      <c r="G113" s="22"/>
      <c r="H113" s="24"/>
      <c r="I113" s="22"/>
      <c r="J113" s="22"/>
      <c r="K113" s="23"/>
      <c r="N113" s="23"/>
      <c r="O113" s="60"/>
      <c r="Q113" s="23">
        <v>0</v>
      </c>
    </row>
    <row r="114" spans="1:17" hidden="1" x14ac:dyDescent="0.25">
      <c r="A114" s="3"/>
      <c r="B114" s="20"/>
      <c r="C114" s="20"/>
      <c r="D114" s="20"/>
      <c r="E114" s="21"/>
      <c r="F114" s="22"/>
      <c r="G114" s="22"/>
      <c r="H114" s="24"/>
      <c r="I114" s="22"/>
      <c r="J114" s="22"/>
      <c r="K114" s="23"/>
      <c r="N114" s="23"/>
      <c r="O114" s="60"/>
      <c r="Q114" s="23">
        <v>0</v>
      </c>
    </row>
    <row r="115" spans="1:17" hidden="1" x14ac:dyDescent="0.25">
      <c r="A115" s="3"/>
      <c r="B115" s="20"/>
      <c r="C115" s="20"/>
      <c r="D115" s="20"/>
      <c r="E115" s="21"/>
      <c r="F115" s="22"/>
      <c r="G115" s="22"/>
      <c r="H115" s="24"/>
      <c r="I115" s="22"/>
      <c r="J115" s="22"/>
      <c r="K115" s="23"/>
      <c r="N115" s="23"/>
      <c r="O115" s="60"/>
      <c r="Q115" s="23">
        <v>0</v>
      </c>
    </row>
    <row r="116" spans="1:17" x14ac:dyDescent="0.25">
      <c r="A116" s="3"/>
      <c r="B116" s="20"/>
      <c r="C116" s="20" t="s">
        <v>14</v>
      </c>
      <c r="D116" s="20"/>
      <c r="E116" s="21">
        <f>E39+E59+E82+E108</f>
        <v>202665.63</v>
      </c>
      <c r="F116" s="22"/>
      <c r="G116" s="22"/>
      <c r="H116" s="21">
        <f>H39+H59+H82+H108</f>
        <v>218850</v>
      </c>
      <c r="I116" s="22"/>
      <c r="J116" s="22"/>
      <c r="K116" s="21">
        <f>K39+K59+K82+K108+100</f>
        <v>198100</v>
      </c>
      <c r="N116" s="21">
        <f>+N39+N59+N82+N108</f>
        <v>238700</v>
      </c>
      <c r="O116" s="52"/>
      <c r="Q116" s="21">
        <v>209462.57</v>
      </c>
    </row>
    <row r="117" spans="1:17" x14ac:dyDescent="0.25">
      <c r="A117" s="3"/>
      <c r="B117" s="20" t="s">
        <v>15</v>
      </c>
      <c r="C117" s="20"/>
      <c r="D117" s="20"/>
      <c r="E117" s="21">
        <f>E21-E116</f>
        <v>8940.7200000000012</v>
      </c>
      <c r="F117" s="22"/>
      <c r="G117" s="22"/>
      <c r="H117" s="21">
        <f>ROUND(H5+H21-H116,5)</f>
        <v>6200</v>
      </c>
      <c r="I117" s="22"/>
      <c r="J117" s="22"/>
      <c r="K117" s="34">
        <f>ROUND(K5+K21-K116,5)</f>
        <v>3900</v>
      </c>
      <c r="N117" s="34">
        <f>+N21-N116</f>
        <v>-21780</v>
      </c>
      <c r="O117" s="55"/>
      <c r="Q117" s="34">
        <v>40338.700000000012</v>
      </c>
    </row>
    <row r="118" spans="1:17" s="4" customFormat="1" ht="11.25" x14ac:dyDescent="0.2">
      <c r="A118" s="3" t="s">
        <v>16</v>
      </c>
      <c r="B118" s="20"/>
      <c r="C118" s="20"/>
      <c r="D118" s="20"/>
      <c r="E118" s="14">
        <f>E117</f>
        <v>8940.7200000000012</v>
      </c>
      <c r="F118" s="35"/>
      <c r="G118" s="35"/>
      <c r="H118" s="14">
        <f>H117</f>
        <v>6200</v>
      </c>
      <c r="I118" s="35"/>
      <c r="J118" s="35"/>
      <c r="K118" s="36">
        <f>K117</f>
        <v>3900</v>
      </c>
      <c r="N118" s="36">
        <f>+N117</f>
        <v>-21780</v>
      </c>
      <c r="O118" s="52"/>
      <c r="Q118" s="36">
        <v>40338.700000000012</v>
      </c>
    </row>
    <row r="119" spans="1:17" x14ac:dyDescent="0.25">
      <c r="B119" s="29"/>
      <c r="C119" s="29"/>
      <c r="D119" s="29"/>
      <c r="E119" s="31"/>
      <c r="F119" s="22"/>
      <c r="G119" s="22"/>
      <c r="H119" s="24"/>
      <c r="I119" s="22"/>
      <c r="J119" s="22"/>
      <c r="K119" s="23"/>
    </row>
    <row r="120" spans="1:17" x14ac:dyDescent="0.25">
      <c r="A120" s="4" t="s">
        <v>17</v>
      </c>
      <c r="B120" s="4"/>
      <c r="C120" s="4"/>
      <c r="D120" s="4"/>
      <c r="E120"/>
      <c r="G120" s="22"/>
      <c r="H120" s="24"/>
      <c r="I120" s="22"/>
      <c r="J120" s="22"/>
      <c r="K120" s="23"/>
    </row>
    <row r="121" spans="1:17" x14ac:dyDescent="0.25">
      <c r="A121" s="4"/>
      <c r="B121" s="4"/>
      <c r="C121" s="4" t="s">
        <v>108</v>
      </c>
      <c r="E121" s="42">
        <f>SUM(E122:E125)</f>
        <v>346672.32999999996</v>
      </c>
      <c r="G121" s="22"/>
      <c r="H121" s="22"/>
      <c r="I121" s="22"/>
      <c r="J121" s="22"/>
      <c r="K121" s="23"/>
    </row>
    <row r="122" spans="1:17" x14ac:dyDescent="0.25">
      <c r="A122" s="4"/>
      <c r="B122" s="4"/>
      <c r="C122" s="4"/>
      <c r="D122" s="4" t="s">
        <v>18</v>
      </c>
      <c r="E122" s="43">
        <f>+'[1]Balance Sheet'!$F$6</f>
        <v>15576.46</v>
      </c>
      <c r="G122" s="22"/>
      <c r="H122" s="22"/>
      <c r="I122" s="22"/>
      <c r="J122" s="22"/>
      <c r="K122" s="23"/>
    </row>
    <row r="123" spans="1:17" x14ac:dyDescent="0.25">
      <c r="A123" s="4"/>
      <c r="B123" s="4"/>
      <c r="C123" s="4"/>
      <c r="D123" s="4" t="s">
        <v>19</v>
      </c>
      <c r="E123" s="43">
        <f>+'[1]Balance Sheet'!$F$5</f>
        <v>56832.09</v>
      </c>
      <c r="G123" s="22"/>
      <c r="H123" s="22"/>
      <c r="I123" s="22"/>
      <c r="J123" s="22"/>
      <c r="K123" s="22"/>
    </row>
    <row r="124" spans="1:17" x14ac:dyDescent="0.25">
      <c r="A124" s="4"/>
      <c r="B124" s="4"/>
      <c r="C124" s="4"/>
      <c r="D124" s="4" t="s">
        <v>109</v>
      </c>
      <c r="E124" s="43">
        <v>170000</v>
      </c>
      <c r="G124" s="37"/>
      <c r="H124" s="22"/>
      <c r="I124" s="22"/>
      <c r="J124" s="22"/>
      <c r="K124" s="22"/>
    </row>
    <row r="125" spans="1:17" x14ac:dyDescent="0.25">
      <c r="A125" s="4"/>
      <c r="B125" s="4"/>
      <c r="C125" s="4"/>
      <c r="D125" s="4" t="s">
        <v>20</v>
      </c>
      <c r="E125" s="43">
        <f>+'[1]Balance Sheet'!$F$16</f>
        <v>104263.78</v>
      </c>
      <c r="G125" s="37"/>
      <c r="H125" s="22"/>
      <c r="I125" s="22"/>
      <c r="J125" s="22"/>
      <c r="K125" s="22"/>
    </row>
    <row r="126" spans="1:17" x14ac:dyDescent="0.25">
      <c r="A126" s="4"/>
      <c r="B126" s="4"/>
      <c r="C126" s="4"/>
      <c r="D126" s="4" t="s">
        <v>21</v>
      </c>
      <c r="E126"/>
      <c r="F126" s="44">
        <f>+'[1]Balance Sheet'!$F$10</f>
        <v>63585.94</v>
      </c>
      <c r="G126" s="37"/>
      <c r="H126" s="22"/>
      <c r="I126" s="22"/>
      <c r="J126" s="22"/>
      <c r="K126" s="22"/>
    </row>
    <row r="127" spans="1:17" x14ac:dyDescent="0.25">
      <c r="A127" s="4"/>
      <c r="B127" s="4"/>
      <c r="C127" s="4"/>
      <c r="D127" s="4" t="s">
        <v>22</v>
      </c>
      <c r="E127"/>
      <c r="F127" s="44">
        <f>+'[1]Balance Sheet'!$F$11</f>
        <v>6909.77</v>
      </c>
      <c r="G127" s="37"/>
      <c r="H127" s="22"/>
      <c r="I127" s="22"/>
      <c r="J127" s="22"/>
      <c r="K127" s="22"/>
    </row>
    <row r="128" spans="1:17" x14ac:dyDescent="0.25">
      <c r="A128" s="4"/>
      <c r="B128" s="4"/>
      <c r="C128" s="4"/>
      <c r="D128" s="4" t="s">
        <v>23</v>
      </c>
      <c r="E128"/>
      <c r="F128" s="44">
        <f>+'[1]Balance Sheet'!$F$12</f>
        <v>5538.92</v>
      </c>
      <c r="G128" s="37"/>
      <c r="H128" s="61"/>
      <c r="I128" s="22"/>
      <c r="J128" s="22"/>
      <c r="K128" s="22"/>
    </row>
    <row r="129" spans="1:11" x14ac:dyDescent="0.25">
      <c r="A129" s="4"/>
      <c r="B129" s="4"/>
      <c r="C129" s="4"/>
      <c r="D129" s="4" t="s">
        <v>24</v>
      </c>
      <c r="E129"/>
      <c r="F129" s="44">
        <f>+'[1]Balance Sheet'!$F$13</f>
        <v>11787.73</v>
      </c>
      <c r="G129" s="37"/>
      <c r="H129" s="22"/>
      <c r="I129" s="22"/>
      <c r="J129" s="22"/>
      <c r="K129" s="22"/>
    </row>
    <row r="130" spans="1:11" x14ac:dyDescent="0.25">
      <c r="A130" s="4"/>
      <c r="B130" s="4"/>
      <c r="C130" s="4"/>
      <c r="D130" s="4" t="s">
        <v>25</v>
      </c>
      <c r="E130"/>
      <c r="F130" s="44">
        <f>+'[1]Balance Sheet'!$F$14</f>
        <v>15541.42</v>
      </c>
      <c r="G130" s="22"/>
      <c r="H130" s="22"/>
      <c r="I130" s="22"/>
      <c r="J130" s="22"/>
      <c r="K130" s="22"/>
    </row>
    <row r="131" spans="1:11" x14ac:dyDescent="0.25">
      <c r="A131" s="4"/>
      <c r="B131" s="4"/>
      <c r="C131" s="4"/>
      <c r="D131" s="4" t="s">
        <v>26</v>
      </c>
      <c r="E131"/>
      <c r="F131" s="44">
        <f>+'[1]Balance Sheet'!$F$15</f>
        <v>900</v>
      </c>
      <c r="G131" s="39"/>
      <c r="H131" s="39"/>
      <c r="I131" s="39"/>
      <c r="J131" s="39"/>
      <c r="K131" s="39"/>
    </row>
    <row r="132" spans="1:11" x14ac:dyDescent="0.25">
      <c r="A132" s="4"/>
      <c r="B132" s="4"/>
      <c r="C132" s="4"/>
      <c r="D132" s="4"/>
      <c r="E132"/>
      <c r="G132" s="39"/>
      <c r="H132" s="39"/>
      <c r="I132" s="39"/>
      <c r="J132" s="39"/>
      <c r="K132" s="39"/>
    </row>
    <row r="133" spans="1:11" x14ac:dyDescent="0.25">
      <c r="A133" s="4"/>
      <c r="B133" s="4"/>
      <c r="C133" s="4"/>
      <c r="D133" s="4" t="s">
        <v>110</v>
      </c>
      <c r="E133" s="42">
        <f>+'[1]Balance Sheet'!$F$32</f>
        <v>92549.61</v>
      </c>
      <c r="G133" s="39"/>
      <c r="H133" s="39"/>
      <c r="I133" s="39"/>
      <c r="J133" s="39"/>
      <c r="K133" s="39"/>
    </row>
    <row r="134" spans="1:11" x14ac:dyDescent="0.25">
      <c r="B134" s="38"/>
      <c r="C134" s="38"/>
      <c r="D134" s="38"/>
      <c r="E134" s="40"/>
      <c r="F134" s="41"/>
      <c r="G134" s="41"/>
      <c r="H134" s="41"/>
      <c r="I134" s="41"/>
      <c r="J134" s="41"/>
      <c r="K134" s="41"/>
    </row>
    <row r="135" spans="1:11" x14ac:dyDescent="0.25">
      <c r="B135" s="38"/>
      <c r="C135" s="38"/>
      <c r="D135" s="38" t="s">
        <v>111</v>
      </c>
      <c r="E135" s="45">
        <f>SUM(E121)-E133</f>
        <v>254122.71999999997</v>
      </c>
      <c r="F135" s="41"/>
      <c r="G135" s="41"/>
      <c r="H135" s="41"/>
      <c r="I135" s="41"/>
      <c r="J135" s="41"/>
      <c r="K135" s="41"/>
    </row>
    <row r="136" spans="1:11" x14ac:dyDescent="0.25">
      <c r="B136" s="38"/>
      <c r="C136" s="38"/>
      <c r="D136" s="38"/>
      <c r="E136" s="40"/>
      <c r="F136" s="41"/>
      <c r="G136" s="41"/>
      <c r="H136" s="41"/>
      <c r="I136" s="41"/>
      <c r="J136" s="41"/>
      <c r="K136" s="41"/>
    </row>
    <row r="137" spans="1:11" x14ac:dyDescent="0.25">
      <c r="B137" s="38"/>
      <c r="C137" s="38"/>
      <c r="D137" s="38"/>
      <c r="E137" s="40"/>
      <c r="F137" s="41"/>
      <c r="G137" s="41"/>
      <c r="H137" s="41"/>
      <c r="I137" s="41"/>
      <c r="J137" s="41"/>
      <c r="K137" s="41"/>
    </row>
    <row r="138" spans="1:11" x14ac:dyDescent="0.25">
      <c r="B138" s="38"/>
      <c r="C138" s="38"/>
      <c r="D138" s="38"/>
      <c r="E138" s="40"/>
      <c r="F138" s="41"/>
      <c r="G138" s="41"/>
      <c r="H138" s="41"/>
      <c r="I138" s="41"/>
      <c r="J138" s="41"/>
      <c r="K138" s="41"/>
    </row>
    <row r="139" spans="1:11" x14ac:dyDescent="0.25">
      <c r="B139" s="38"/>
      <c r="C139" s="38"/>
      <c r="D139" s="38"/>
      <c r="E139" s="40"/>
      <c r="F139" s="41"/>
      <c r="G139" s="41"/>
      <c r="H139" s="41"/>
      <c r="I139" s="41"/>
      <c r="J139" s="41"/>
      <c r="K139" s="41"/>
    </row>
  </sheetData>
  <pageMargins left="0.7" right="0.7" top="0.75" bottom="0.75" header="0.3" footer="0.3"/>
  <pageSetup scale="64" fitToHeight="0" orientation="portrait" r:id="rId1"/>
  <headerFooter>
    <oddFooter>&amp;L&amp;F&amp;A&amp;R&amp;D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FED37-E643-44E0-AA24-59206FD11944}">
  <sheetPr>
    <pageSetUpPr fitToPage="1"/>
  </sheetPr>
  <dimension ref="A1:R37"/>
  <sheetViews>
    <sheetView tabSelected="1" workbookViewId="0">
      <selection activeCell="R9" sqref="R9"/>
    </sheetView>
  </sheetViews>
  <sheetFormatPr defaultRowHeight="15" x14ac:dyDescent="0.25"/>
  <cols>
    <col min="4" max="4" width="19.140625" bestFit="1" customWidth="1"/>
    <col min="5" max="5" width="13.28515625" customWidth="1"/>
    <col min="14" max="14" width="12.85546875" bestFit="1" customWidth="1"/>
  </cols>
  <sheetData>
    <row r="1" spans="1:18" x14ac:dyDescent="0.25">
      <c r="A1" s="4"/>
      <c r="B1" s="4"/>
      <c r="C1" s="4"/>
      <c r="D1" s="4"/>
    </row>
    <row r="2" spans="1:18" x14ac:dyDescent="0.25">
      <c r="A2" s="4"/>
      <c r="B2" s="4"/>
      <c r="C2" s="4"/>
      <c r="D2" s="4"/>
    </row>
    <row r="3" spans="1:18" ht="15.75" thickBot="1" x14ac:dyDescent="0.3">
      <c r="A3" s="1"/>
      <c r="B3" s="1"/>
      <c r="C3" s="1"/>
      <c r="D3" s="1"/>
      <c r="E3" s="64" t="s">
        <v>0</v>
      </c>
      <c r="F3" s="2"/>
      <c r="G3" s="2"/>
      <c r="H3" s="64" t="s">
        <v>1</v>
      </c>
      <c r="I3" s="2"/>
      <c r="J3" s="2"/>
      <c r="K3" s="64" t="s">
        <v>2</v>
      </c>
      <c r="L3" s="2"/>
      <c r="M3" s="2"/>
      <c r="N3" s="64" t="s">
        <v>112</v>
      </c>
      <c r="O3" s="2"/>
      <c r="P3" s="2"/>
      <c r="Q3" s="64" t="s">
        <v>120</v>
      </c>
      <c r="R3" s="2"/>
    </row>
    <row r="4" spans="1:18" ht="15.75" thickTop="1" x14ac:dyDescent="0.25">
      <c r="A4" s="1"/>
      <c r="B4" s="1"/>
      <c r="C4" s="1"/>
      <c r="D4" s="1"/>
      <c r="E4" s="1"/>
      <c r="F4" s="2"/>
      <c r="G4" s="2"/>
      <c r="H4" s="1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3"/>
      <c r="B5" s="3" t="s">
        <v>3</v>
      </c>
      <c r="C5" s="3"/>
      <c r="D5" s="3"/>
      <c r="E5" s="65"/>
      <c r="K5" s="66"/>
      <c r="N5" s="66"/>
      <c r="Q5" s="66"/>
    </row>
    <row r="6" spans="1:18" x14ac:dyDescent="0.25">
      <c r="A6" s="3"/>
      <c r="B6" s="3"/>
      <c r="C6" s="3" t="s">
        <v>4</v>
      </c>
      <c r="D6" s="3"/>
      <c r="E6" s="65"/>
      <c r="H6" s="67"/>
      <c r="K6" s="66"/>
      <c r="N6" s="66"/>
      <c r="Q6" s="66"/>
    </row>
    <row r="7" spans="1:18" x14ac:dyDescent="0.25">
      <c r="A7" s="3"/>
      <c r="B7" s="3"/>
      <c r="C7" s="3"/>
      <c r="D7" s="3" t="s">
        <v>5</v>
      </c>
      <c r="E7" s="65">
        <f>156733.18+1.57</f>
        <v>156734.75</v>
      </c>
      <c r="H7" s="67">
        <v>180050</v>
      </c>
      <c r="K7" s="68">
        <v>159200</v>
      </c>
      <c r="N7" s="68">
        <f>+'Budget expanded'!N9</f>
        <v>171100</v>
      </c>
      <c r="Q7" s="68">
        <f>+'Budget expanded'!Q9</f>
        <v>190297.57</v>
      </c>
    </row>
    <row r="8" spans="1:18" x14ac:dyDescent="0.25">
      <c r="A8" s="3"/>
      <c r="B8" s="3"/>
      <c r="C8" s="3"/>
      <c r="D8" s="3" t="s">
        <v>6</v>
      </c>
      <c r="E8" s="65">
        <f>12424.6</f>
        <v>12424.6</v>
      </c>
      <c r="H8" s="67">
        <v>2000</v>
      </c>
      <c r="K8" s="68">
        <v>2000</v>
      </c>
      <c r="N8" s="68">
        <f>+'Budget expanded'!N10</f>
        <v>2000</v>
      </c>
      <c r="Q8" s="68">
        <f>+'Budget expanded'!Q10</f>
        <v>17073.7</v>
      </c>
    </row>
    <row r="9" spans="1:18" ht="15.75" thickBot="1" x14ac:dyDescent="0.3">
      <c r="A9" s="3"/>
      <c r="B9" s="3"/>
      <c r="C9" s="3"/>
      <c r="D9" s="3" t="s">
        <v>7</v>
      </c>
      <c r="E9" s="69">
        <v>42447</v>
      </c>
      <c r="H9" s="70">
        <v>43000</v>
      </c>
      <c r="K9" s="71">
        <v>40800</v>
      </c>
      <c r="N9" s="71">
        <f>+'Budget expanded'!N20</f>
        <v>43820</v>
      </c>
      <c r="Q9" s="71">
        <f>+'Budget expanded'!Q20</f>
        <v>42430</v>
      </c>
    </row>
    <row r="10" spans="1:18" x14ac:dyDescent="0.25">
      <c r="A10" s="3"/>
      <c r="B10" s="3"/>
      <c r="C10" s="3" t="s">
        <v>8</v>
      </c>
      <c r="D10" s="3"/>
      <c r="E10" s="65">
        <f>ROUND(SUM(E6:E9),5)</f>
        <v>211606.35</v>
      </c>
      <c r="H10" s="65">
        <f>ROUND(SUM(H6:H9),5)</f>
        <v>225050</v>
      </c>
      <c r="K10" s="72">
        <f>ROUND(SUM(K6:K9),5)</f>
        <v>202000</v>
      </c>
      <c r="N10" s="72">
        <f>ROUND(SUM(N6:N9),5)</f>
        <v>216920</v>
      </c>
      <c r="Q10" s="72">
        <f>ROUND(SUM(Q6:Q9),5)</f>
        <v>249801.27</v>
      </c>
    </row>
    <row r="11" spans="1:18" x14ac:dyDescent="0.25">
      <c r="A11" s="3"/>
      <c r="B11" s="3"/>
      <c r="C11" s="3" t="s">
        <v>9</v>
      </c>
      <c r="D11" s="3"/>
      <c r="E11" s="65"/>
      <c r="H11" s="67"/>
      <c r="K11" s="68"/>
      <c r="N11" s="68"/>
      <c r="Q11" s="68"/>
    </row>
    <row r="12" spans="1:18" x14ac:dyDescent="0.25">
      <c r="A12" s="3"/>
      <c r="B12" s="3"/>
      <c r="C12" s="3"/>
      <c r="D12" s="3" t="s">
        <v>10</v>
      </c>
      <c r="E12" s="65">
        <f>16000+11200</f>
        <v>27200</v>
      </c>
      <c r="H12" s="67">
        <v>28000</v>
      </c>
      <c r="K12" s="68">
        <v>22000</v>
      </c>
      <c r="N12" s="68">
        <f>+'Budget expanded'!N39</f>
        <v>38100</v>
      </c>
      <c r="Q12" s="68">
        <f>+'Budget expanded'!Q39</f>
        <v>47720.5</v>
      </c>
    </row>
    <row r="13" spans="1:18" x14ac:dyDescent="0.25">
      <c r="A13" s="3"/>
      <c r="B13" s="3"/>
      <c r="C13" s="3"/>
      <c r="D13" s="3" t="s">
        <v>11</v>
      </c>
      <c r="E13" s="65">
        <f>2143.8+1337.5+24906.5+67403.98+1763.25</f>
        <v>97555.03</v>
      </c>
      <c r="H13" s="67">
        <v>116050</v>
      </c>
      <c r="K13" s="68">
        <f>1500+3800+23500+81400+2500</f>
        <v>112700</v>
      </c>
      <c r="N13" s="68">
        <f>+'Budget expanded'!N59</f>
        <v>116300</v>
      </c>
      <c r="Q13" s="68">
        <f>+'Budget expanded'!Q59</f>
        <v>113750.53</v>
      </c>
    </row>
    <row r="14" spans="1:18" x14ac:dyDescent="0.25">
      <c r="A14" s="3"/>
      <c r="B14" s="3"/>
      <c r="C14" s="3"/>
      <c r="D14" s="3" t="s">
        <v>12</v>
      </c>
      <c r="E14" s="65">
        <f>100+3559.21+235.63+6635.02</f>
        <v>10529.86</v>
      </c>
      <c r="H14" s="67">
        <v>12500</v>
      </c>
      <c r="K14" s="68">
        <f>200+4300+1400+6300+100</f>
        <v>12300</v>
      </c>
      <c r="N14" s="68">
        <f>+'Budget expanded'!N82</f>
        <v>10200</v>
      </c>
      <c r="Q14" s="68">
        <f>+'Budget expanded'!Q82</f>
        <v>7050.31</v>
      </c>
    </row>
    <row r="15" spans="1:18" ht="15.75" thickBot="1" x14ac:dyDescent="0.3">
      <c r="A15" s="3"/>
      <c r="B15" s="3"/>
      <c r="C15" s="3"/>
      <c r="D15" s="3" t="s">
        <v>13</v>
      </c>
      <c r="E15" s="65">
        <f>5143.4+47891.39+2778.47+11567.48</f>
        <v>67380.740000000005</v>
      </c>
      <c r="H15" s="67">
        <v>65700</v>
      </c>
      <c r="K15" s="68">
        <f>3300+48750+2950</f>
        <v>55000</v>
      </c>
      <c r="N15" s="67">
        <f>+'Budget expanded'!N108</f>
        <v>74100</v>
      </c>
      <c r="Q15" s="67">
        <f>+'Budget expanded'!Q108</f>
        <v>40941.230000000003</v>
      </c>
    </row>
    <row r="16" spans="1:18" ht="15.75" thickBot="1" x14ac:dyDescent="0.3">
      <c r="A16" s="3"/>
      <c r="B16" s="3"/>
      <c r="C16" s="3" t="s">
        <v>14</v>
      </c>
      <c r="D16" s="3"/>
      <c r="E16" s="73">
        <f>ROUND(SUM(E11:E15),5)</f>
        <v>202665.63</v>
      </c>
      <c r="H16" s="73">
        <f>ROUND(SUM(H11:H15),5)</f>
        <v>222250</v>
      </c>
      <c r="K16" s="68">
        <f>SUM(K12:K15)</f>
        <v>202000</v>
      </c>
      <c r="N16" s="73">
        <f>SUM(N12:N15)</f>
        <v>238700</v>
      </c>
      <c r="Q16" s="73">
        <f>+'Budget expanded'!Q116</f>
        <v>209462.57</v>
      </c>
    </row>
    <row r="17" spans="1:18" ht="15.75" thickBot="1" x14ac:dyDescent="0.3">
      <c r="A17" s="3"/>
      <c r="B17" s="3" t="s">
        <v>15</v>
      </c>
      <c r="C17" s="3"/>
      <c r="D17" s="3"/>
      <c r="E17" s="73">
        <f>ROUND(E5+E10-E16,5)</f>
        <v>8940.7199999999993</v>
      </c>
      <c r="H17" s="73">
        <f>ROUND(H5+H10-H16,5)</f>
        <v>2800</v>
      </c>
      <c r="K17" s="74">
        <f>ROUND(K5+K10-K16,5)</f>
        <v>0</v>
      </c>
      <c r="N17" s="74">
        <f>ROUND(N5+N10-N16,5)</f>
        <v>-21780</v>
      </c>
      <c r="Q17" s="74">
        <f>ROUND(Q5+Q10-Q16,5)</f>
        <v>40338.699999999997</v>
      </c>
    </row>
    <row r="18" spans="1:18" ht="15.75" thickBot="1" x14ac:dyDescent="0.3">
      <c r="A18" s="3" t="s">
        <v>16</v>
      </c>
      <c r="B18" s="3"/>
      <c r="C18" s="3"/>
      <c r="D18" s="3"/>
      <c r="E18" s="75">
        <f>E17</f>
        <v>8940.7199999999993</v>
      </c>
      <c r="F18" s="4"/>
      <c r="G18" s="4"/>
      <c r="H18" s="75">
        <f>H17</f>
        <v>2800</v>
      </c>
      <c r="I18" s="4"/>
      <c r="J18" s="4"/>
      <c r="K18" s="76">
        <f>K17</f>
        <v>0</v>
      </c>
      <c r="L18" s="4"/>
      <c r="M18" s="4"/>
      <c r="N18" s="76">
        <f>N17</f>
        <v>-21780</v>
      </c>
      <c r="O18" s="4"/>
      <c r="P18" s="4"/>
      <c r="Q18" s="76">
        <f>Q17</f>
        <v>40338.699999999997</v>
      </c>
      <c r="R18" s="4"/>
    </row>
    <row r="19" spans="1:18" ht="15.75" thickTop="1" x14ac:dyDescent="0.25">
      <c r="A19" s="4"/>
      <c r="B19" s="4"/>
      <c r="C19" s="4"/>
      <c r="D19" s="4"/>
      <c r="H19" s="67"/>
      <c r="K19" s="66"/>
      <c r="N19" s="66"/>
    </row>
    <row r="20" spans="1:18" x14ac:dyDescent="0.25">
      <c r="A20" s="4" t="s">
        <v>17</v>
      </c>
      <c r="B20" s="4"/>
      <c r="C20" s="4"/>
      <c r="D20" s="4"/>
      <c r="H20" s="67"/>
      <c r="K20" s="66"/>
      <c r="N20" s="66"/>
    </row>
    <row r="21" spans="1:18" x14ac:dyDescent="0.25">
      <c r="A21" s="4"/>
      <c r="B21" s="4"/>
      <c r="C21" s="4" t="s">
        <v>108</v>
      </c>
      <c r="D21" s="5"/>
      <c r="E21" s="42">
        <f>SUM(E22:E25)</f>
        <v>346672.32999999996</v>
      </c>
      <c r="H21" s="67"/>
      <c r="K21" s="66"/>
      <c r="N21" s="66"/>
    </row>
    <row r="22" spans="1:18" ht="15.75" x14ac:dyDescent="0.25">
      <c r="A22" s="4"/>
      <c r="B22" s="4"/>
      <c r="C22" s="4"/>
      <c r="D22" s="4" t="s">
        <v>18</v>
      </c>
      <c r="E22" s="43">
        <f>+'[1]Balance Sheet'!$F$6</f>
        <v>15576.46</v>
      </c>
      <c r="K22" s="77"/>
      <c r="N22" s="86"/>
      <c r="O22" s="78"/>
      <c r="P22" s="79"/>
      <c r="Q22" s="79"/>
      <c r="R22" s="79"/>
    </row>
    <row r="23" spans="1:18" x14ac:dyDescent="0.25">
      <c r="A23" s="4"/>
      <c r="B23" s="4"/>
      <c r="C23" s="4"/>
      <c r="D23" s="4" t="s">
        <v>19</v>
      </c>
      <c r="E23" s="43">
        <f>+'[1]Balance Sheet'!$F$5</f>
        <v>56832.09</v>
      </c>
      <c r="K23" s="80"/>
      <c r="N23" s="80"/>
      <c r="O23" s="81"/>
      <c r="P23" s="79"/>
      <c r="Q23" s="79"/>
      <c r="R23" s="79"/>
    </row>
    <row r="24" spans="1:18" x14ac:dyDescent="0.25">
      <c r="A24" s="4"/>
      <c r="B24" s="4"/>
      <c r="C24" s="4"/>
      <c r="D24" s="4" t="s">
        <v>109</v>
      </c>
      <c r="E24" s="43">
        <v>170000</v>
      </c>
      <c r="K24" s="80"/>
      <c r="N24" s="80"/>
      <c r="O24" s="81"/>
      <c r="P24" s="79"/>
      <c r="Q24" s="79"/>
      <c r="R24" s="79"/>
    </row>
    <row r="25" spans="1:18" x14ac:dyDescent="0.25">
      <c r="A25" s="4"/>
      <c r="B25" s="4"/>
      <c r="C25" s="4"/>
      <c r="D25" s="4" t="s">
        <v>20</v>
      </c>
      <c r="E25" s="43">
        <f>+'[1]Balance Sheet'!$F$16</f>
        <v>104263.78</v>
      </c>
      <c r="K25" s="80"/>
      <c r="N25" s="80"/>
      <c r="O25" s="81"/>
      <c r="P25" s="79"/>
      <c r="Q25" s="79"/>
      <c r="R25" s="79"/>
    </row>
    <row r="26" spans="1:18" x14ac:dyDescent="0.25">
      <c r="A26" s="4"/>
      <c r="B26" s="4"/>
      <c r="C26" s="4"/>
      <c r="D26" s="4" t="s">
        <v>21</v>
      </c>
      <c r="F26" s="44">
        <f>+'[1]Balance Sheet'!$F$10</f>
        <v>63585.94</v>
      </c>
      <c r="G26" s="44"/>
      <c r="K26" s="80"/>
      <c r="N26" s="80"/>
      <c r="O26" s="81"/>
      <c r="P26" s="79"/>
      <c r="Q26" s="79"/>
      <c r="R26" s="79"/>
    </row>
    <row r="27" spans="1:18" x14ac:dyDescent="0.25">
      <c r="A27" s="4"/>
      <c r="B27" s="4"/>
      <c r="C27" s="4"/>
      <c r="D27" s="4" t="s">
        <v>22</v>
      </c>
      <c r="F27" s="44">
        <f>+'[1]Balance Sheet'!$F$11</f>
        <v>6909.77</v>
      </c>
      <c r="G27" s="44"/>
      <c r="K27" s="80"/>
      <c r="N27" s="80"/>
      <c r="O27" s="82"/>
      <c r="P27" s="79"/>
      <c r="Q27" s="79"/>
      <c r="R27" s="79"/>
    </row>
    <row r="28" spans="1:18" x14ac:dyDescent="0.25">
      <c r="A28" s="4"/>
      <c r="B28" s="4"/>
      <c r="C28" s="4"/>
      <c r="D28" s="4" t="s">
        <v>23</v>
      </c>
      <c r="F28" s="44">
        <f>+'[1]Balance Sheet'!$F$12</f>
        <v>5538.92</v>
      </c>
      <c r="G28" s="44"/>
      <c r="K28" s="83"/>
      <c r="N28" s="83"/>
      <c r="O28" s="79"/>
      <c r="P28" s="79"/>
      <c r="Q28" s="79"/>
      <c r="R28" s="79"/>
    </row>
    <row r="29" spans="1:18" x14ac:dyDescent="0.25">
      <c r="A29" s="4"/>
      <c r="B29" s="4"/>
      <c r="C29" s="4"/>
      <c r="D29" s="4" t="s">
        <v>24</v>
      </c>
      <c r="F29" s="44">
        <f>+'[1]Balance Sheet'!$F$13</f>
        <v>11787.73</v>
      </c>
      <c r="G29" s="44"/>
      <c r="K29" s="83"/>
      <c r="N29" s="83"/>
      <c r="O29" s="81"/>
      <c r="P29" s="79"/>
      <c r="Q29" s="79"/>
      <c r="R29" s="79"/>
    </row>
    <row r="30" spans="1:18" x14ac:dyDescent="0.25">
      <c r="A30" s="4"/>
      <c r="B30" s="4"/>
      <c r="C30" s="4"/>
      <c r="D30" s="4" t="s">
        <v>25</v>
      </c>
      <c r="F30" s="44">
        <f>+'[1]Balance Sheet'!$F$14</f>
        <v>15541.42</v>
      </c>
      <c r="G30" s="44"/>
      <c r="K30" s="83"/>
      <c r="N30" s="83"/>
      <c r="O30" s="81"/>
      <c r="P30" s="79"/>
      <c r="Q30" s="79"/>
      <c r="R30" s="79"/>
    </row>
    <row r="31" spans="1:18" x14ac:dyDescent="0.25">
      <c r="A31" s="4"/>
      <c r="B31" s="4"/>
      <c r="C31" s="4"/>
      <c r="D31" s="4" t="s">
        <v>26</v>
      </c>
      <c r="F31" s="44">
        <f>+'[1]Balance Sheet'!$F$15</f>
        <v>900</v>
      </c>
      <c r="G31" s="44"/>
      <c r="K31" s="83"/>
      <c r="N31" s="83"/>
      <c r="O31" s="81"/>
      <c r="P31" s="79"/>
      <c r="Q31" s="79"/>
      <c r="R31" s="79"/>
    </row>
    <row r="32" spans="1:18" x14ac:dyDescent="0.25">
      <c r="A32" s="4"/>
      <c r="B32" s="4"/>
      <c r="C32" s="4"/>
      <c r="D32" s="4"/>
      <c r="K32" s="83"/>
      <c r="N32" s="83"/>
      <c r="O32" s="84"/>
      <c r="P32" s="79"/>
      <c r="Q32" s="79"/>
      <c r="R32" s="79"/>
    </row>
    <row r="33" spans="1:18" x14ac:dyDescent="0.25">
      <c r="A33" s="4"/>
      <c r="B33" s="4"/>
      <c r="C33" s="4"/>
      <c r="D33" s="4" t="s">
        <v>110</v>
      </c>
      <c r="E33" s="42">
        <f>+'[1]Balance Sheet'!$F$32</f>
        <v>92549.61</v>
      </c>
      <c r="K33" s="83"/>
      <c r="N33" s="83"/>
      <c r="O33" s="81"/>
      <c r="P33" s="79"/>
      <c r="Q33" s="79"/>
      <c r="R33" s="79"/>
    </row>
    <row r="34" spans="1:18" x14ac:dyDescent="0.25">
      <c r="A34" s="5"/>
      <c r="B34" s="38"/>
      <c r="C34" s="38"/>
      <c r="D34" s="38"/>
      <c r="E34" s="40"/>
      <c r="F34" s="41"/>
      <c r="K34" s="80"/>
      <c r="N34" s="80"/>
      <c r="O34" s="79"/>
      <c r="P34" s="79"/>
      <c r="Q34" s="79"/>
      <c r="R34" s="79"/>
    </row>
    <row r="35" spans="1:18" x14ac:dyDescent="0.25">
      <c r="A35" s="5"/>
      <c r="B35" s="38"/>
      <c r="C35" s="38"/>
      <c r="D35" s="38" t="s">
        <v>111</v>
      </c>
      <c r="E35" s="45">
        <f>SUM(E21)-E33</f>
        <v>254122.71999999997</v>
      </c>
      <c r="F35" s="41"/>
    </row>
    <row r="36" spans="1:18" x14ac:dyDescent="0.25">
      <c r="A36" s="4"/>
      <c r="B36" s="4"/>
      <c r="C36" s="4"/>
      <c r="D36" s="4"/>
    </row>
    <row r="37" spans="1:18" x14ac:dyDescent="0.25">
      <c r="A37" s="4"/>
      <c r="B37" s="4"/>
      <c r="C37" s="4"/>
      <c r="D37" s="4"/>
    </row>
  </sheetData>
  <pageMargins left="0.7" right="0.7" top="0.75" bottom="0.75" header="0.3" footer="0.3"/>
  <pageSetup scale="52" fitToHeight="0" orientation="portrait" r:id="rId1"/>
  <headerFooter>
    <oddFooter>&amp;L&amp;F&amp;A&amp;R&amp;D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expanded</vt:lpstr>
      <vt:lpstr>Budget collapsed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Judy Lapham &amp; Thaine Dirks</cp:lastModifiedBy>
  <cp:lastPrinted>2022-01-20T23:19:59Z</cp:lastPrinted>
  <dcterms:created xsi:type="dcterms:W3CDTF">2021-01-13T20:42:09Z</dcterms:created>
  <dcterms:modified xsi:type="dcterms:W3CDTF">2022-01-20T23:23:29Z</dcterms:modified>
</cp:coreProperties>
</file>